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065" activeTab="1"/>
  </bookViews>
  <sheets>
    <sheet name="2022" sheetId="10" r:id="rId1"/>
    <sheet name="M09" sheetId="11" r:id="rId2"/>
    <sheet name="lương nộp thuế" sheetId="12" r:id="rId3"/>
  </sheets>
  <calcPr calcId="124519"/>
</workbook>
</file>

<file path=xl/calcChain.xml><?xml version="1.0" encoding="utf-8"?>
<calcChain xmlns="http://schemas.openxmlformats.org/spreadsheetml/2006/main">
  <c r="G739" i="11"/>
  <c r="S777" i="10"/>
  <c r="P777"/>
  <c r="C970" i="11"/>
  <c r="C973" s="1"/>
  <c r="O962"/>
  <c r="G966"/>
  <c r="E966" s="1"/>
  <c r="E965" s="1"/>
  <c r="G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J928"/>
  <c r="I928"/>
  <c r="H928"/>
  <c r="H927" s="1"/>
  <c r="G928"/>
  <c r="G927" s="1"/>
  <c r="F928"/>
  <c r="F927" s="1"/>
  <c r="J927"/>
  <c r="I927"/>
  <c r="Q787" i="10"/>
  <c r="N787"/>
  <c r="M787"/>
  <c r="H787"/>
  <c r="F787"/>
  <c r="E787"/>
  <c r="P786"/>
  <c r="R786" s="1"/>
  <c r="S786" s="1"/>
  <c r="O786"/>
  <c r="P785"/>
  <c r="R785" s="1"/>
  <c r="L785"/>
  <c r="O785" s="1"/>
  <c r="K785"/>
  <c r="P784"/>
  <c r="R784" s="1"/>
  <c r="L784"/>
  <c r="O784" s="1"/>
  <c r="K784"/>
  <c r="P783"/>
  <c r="R783" s="1"/>
  <c r="J783"/>
  <c r="K783" s="1"/>
  <c r="L783" s="1"/>
  <c r="O783" s="1"/>
  <c r="S783" s="1"/>
  <c r="J782"/>
  <c r="I782"/>
  <c r="K782" s="1"/>
  <c r="L782" s="1"/>
  <c r="O782" s="1"/>
  <c r="J781"/>
  <c r="I781"/>
  <c r="K781" s="1"/>
  <c r="L781" s="1"/>
  <c r="O781" s="1"/>
  <c r="J780"/>
  <c r="I780"/>
  <c r="K780" s="1"/>
  <c r="L780" s="1"/>
  <c r="O780" s="1"/>
  <c r="J779"/>
  <c r="I779"/>
  <c r="K779" s="1"/>
  <c r="L779" s="1"/>
  <c r="O779" s="1"/>
  <c r="J778"/>
  <c r="I778"/>
  <c r="K778" s="1"/>
  <c r="L778" s="1"/>
  <c r="O778" s="1"/>
  <c r="R777"/>
  <c r="K777"/>
  <c r="L777" s="1"/>
  <c r="O777" s="1"/>
  <c r="K776"/>
  <c r="L776" s="1"/>
  <c r="O776" s="1"/>
  <c r="J776"/>
  <c r="I776"/>
  <c r="P776" s="1"/>
  <c r="R776" s="1"/>
  <c r="K775"/>
  <c r="L775" s="1"/>
  <c r="O775" s="1"/>
  <c r="S775" s="1"/>
  <c r="J775"/>
  <c r="I775"/>
  <c r="P775" s="1"/>
  <c r="R775" s="1"/>
  <c r="K774"/>
  <c r="L774" s="1"/>
  <c r="O774" s="1"/>
  <c r="S774" s="1"/>
  <c r="J774"/>
  <c r="I774"/>
  <c r="P774" s="1"/>
  <c r="R774" s="1"/>
  <c r="K773"/>
  <c r="L773" s="1"/>
  <c r="O773" s="1"/>
  <c r="J773"/>
  <c r="I773"/>
  <c r="P773" s="1"/>
  <c r="R773" s="1"/>
  <c r="K772"/>
  <c r="L772" s="1"/>
  <c r="O772" s="1"/>
  <c r="J772"/>
  <c r="I772"/>
  <c r="P772" s="1"/>
  <c r="R772" s="1"/>
  <c r="K771"/>
  <c r="L771" s="1"/>
  <c r="O771" s="1"/>
  <c r="S771" s="1"/>
  <c r="J771"/>
  <c r="I771"/>
  <c r="P771" s="1"/>
  <c r="R771" s="1"/>
  <c r="K770"/>
  <c r="L770" s="1"/>
  <c r="O770" s="1"/>
  <c r="S770" s="1"/>
  <c r="J770"/>
  <c r="I770"/>
  <c r="P770" s="1"/>
  <c r="R770" s="1"/>
  <c r="K769"/>
  <c r="L769" s="1"/>
  <c r="O769" s="1"/>
  <c r="J769"/>
  <c r="I769"/>
  <c r="P769" s="1"/>
  <c r="R769" s="1"/>
  <c r="K768"/>
  <c r="L768" s="1"/>
  <c r="O768" s="1"/>
  <c r="J768"/>
  <c r="I768"/>
  <c r="P768" s="1"/>
  <c r="R768" s="1"/>
  <c r="K767"/>
  <c r="L767" s="1"/>
  <c r="O767" s="1"/>
  <c r="S767" s="1"/>
  <c r="J767"/>
  <c r="I767"/>
  <c r="P767" s="1"/>
  <c r="R767" s="1"/>
  <c r="K766"/>
  <c r="L766" s="1"/>
  <c r="O766" s="1"/>
  <c r="S766" s="1"/>
  <c r="J766"/>
  <c r="I766"/>
  <c r="P766" s="1"/>
  <c r="R766" s="1"/>
  <c r="K765"/>
  <c r="L765" s="1"/>
  <c r="O765" s="1"/>
  <c r="J765"/>
  <c r="I765"/>
  <c r="P765" s="1"/>
  <c r="R765" s="1"/>
  <c r="K764"/>
  <c r="L764" s="1"/>
  <c r="O764" s="1"/>
  <c r="J764"/>
  <c r="I764"/>
  <c r="P764" s="1"/>
  <c r="R764" s="1"/>
  <c r="K763"/>
  <c r="L763" s="1"/>
  <c r="O763" s="1"/>
  <c r="S763" s="1"/>
  <c r="J763"/>
  <c r="I763"/>
  <c r="P763" s="1"/>
  <c r="R763" s="1"/>
  <c r="K762"/>
  <c r="L762" s="1"/>
  <c r="O762" s="1"/>
  <c r="S762" s="1"/>
  <c r="J762"/>
  <c r="I762"/>
  <c r="P762" s="1"/>
  <c r="R762" s="1"/>
  <c r="R761"/>
  <c r="P761"/>
  <c r="K761"/>
  <c r="L761" s="1"/>
  <c r="O761" s="1"/>
  <c r="S761" s="1"/>
  <c r="J760"/>
  <c r="I760"/>
  <c r="K760" s="1"/>
  <c r="L760" s="1"/>
  <c r="O760" s="1"/>
  <c r="J759"/>
  <c r="I759"/>
  <c r="K759" s="1"/>
  <c r="L759" s="1"/>
  <c r="O759" s="1"/>
  <c r="J758"/>
  <c r="I758"/>
  <c r="K758" s="1"/>
  <c r="L758" s="1"/>
  <c r="O758" s="1"/>
  <c r="J757"/>
  <c r="I757"/>
  <c r="K757" s="1"/>
  <c r="L757" s="1"/>
  <c r="O757" s="1"/>
  <c r="J756"/>
  <c r="I756"/>
  <c r="K756" s="1"/>
  <c r="L756" s="1"/>
  <c r="O756" s="1"/>
  <c r="J755"/>
  <c r="I755"/>
  <c r="K755" s="1"/>
  <c r="L755" s="1"/>
  <c r="O755" s="1"/>
  <c r="J754"/>
  <c r="I754"/>
  <c r="K754" s="1"/>
  <c r="L754" s="1"/>
  <c r="O754" s="1"/>
  <c r="G754"/>
  <c r="J753"/>
  <c r="G753"/>
  <c r="I753" s="1"/>
  <c r="P753" s="1"/>
  <c r="R753" s="1"/>
  <c r="I752"/>
  <c r="G752"/>
  <c r="P752" s="1"/>
  <c r="R752" s="1"/>
  <c r="G751"/>
  <c r="J750"/>
  <c r="I750"/>
  <c r="K750" s="1"/>
  <c r="F874" i="11"/>
  <c r="H874"/>
  <c r="J874"/>
  <c r="E883"/>
  <c r="E884"/>
  <c r="E885"/>
  <c r="E886"/>
  <c r="E887"/>
  <c r="E888"/>
  <c r="E889"/>
  <c r="E890"/>
  <c r="E882"/>
  <c r="E881"/>
  <c r="E880"/>
  <c r="E879"/>
  <c r="E878"/>
  <c r="E877"/>
  <c r="E876"/>
  <c r="J875"/>
  <c r="I875"/>
  <c r="I874" s="1"/>
  <c r="H875"/>
  <c r="G875"/>
  <c r="G874" s="1"/>
  <c r="F875"/>
  <c r="I719" i="10"/>
  <c r="I713"/>
  <c r="I718"/>
  <c r="I714"/>
  <c r="L698"/>
  <c r="L699"/>
  <c r="L715"/>
  <c r="L716"/>
  <c r="P716"/>
  <c r="K698"/>
  <c r="J698"/>
  <c r="I716"/>
  <c r="I711"/>
  <c r="I698"/>
  <c r="I700"/>
  <c r="I710"/>
  <c r="I708"/>
  <c r="I707"/>
  <c r="I704"/>
  <c r="I702"/>
  <c r="I701"/>
  <c r="I720"/>
  <c r="I695"/>
  <c r="I697"/>
  <c r="I705"/>
  <c r="I647"/>
  <c r="I712"/>
  <c r="I696"/>
  <c r="I706"/>
  <c r="J716"/>
  <c r="I694"/>
  <c r="I692"/>
  <c r="I691"/>
  <c r="I690"/>
  <c r="I688"/>
  <c r="I689"/>
  <c r="E847" i="11"/>
  <c r="E846"/>
  <c r="E850"/>
  <c r="E849" s="1"/>
  <c r="J849"/>
  <c r="G849"/>
  <c r="E848"/>
  <c r="E845"/>
  <c r="E844"/>
  <c r="E843"/>
  <c r="E842"/>
  <c r="E841"/>
  <c r="J840"/>
  <c r="J839" s="1"/>
  <c r="I840"/>
  <c r="I839" s="1"/>
  <c r="H840"/>
  <c r="H839" s="1"/>
  <c r="G840"/>
  <c r="F840"/>
  <c r="F839" s="1"/>
  <c r="P773"/>
  <c r="J770"/>
  <c r="J807"/>
  <c r="E808"/>
  <c r="E807" s="1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I770"/>
  <c r="I769" s="1"/>
  <c r="H770"/>
  <c r="H769" s="1"/>
  <c r="G770"/>
  <c r="F770"/>
  <c r="F769" s="1"/>
  <c r="Q632" i="12"/>
  <c r="N632"/>
  <c r="M632"/>
  <c r="H632"/>
  <c r="F632"/>
  <c r="E632"/>
  <c r="P631"/>
  <c r="R631" s="1"/>
  <c r="S631" s="1"/>
  <c r="O631"/>
  <c r="P630"/>
  <c r="R630" s="1"/>
  <c r="L630"/>
  <c r="O630" s="1"/>
  <c r="K630"/>
  <c r="P629"/>
  <c r="R629" s="1"/>
  <c r="L629"/>
  <c r="O629" s="1"/>
  <c r="S629" s="1"/>
  <c r="K629"/>
  <c r="P628"/>
  <c r="R628" s="1"/>
  <c r="J628"/>
  <c r="K628" s="1"/>
  <c r="L628" s="1"/>
  <c r="O628" s="1"/>
  <c r="K627"/>
  <c r="L627" s="1"/>
  <c r="O627" s="1"/>
  <c r="J627"/>
  <c r="P627"/>
  <c r="R627" s="1"/>
  <c r="K626"/>
  <c r="L626" s="1"/>
  <c r="O626" s="1"/>
  <c r="J626"/>
  <c r="P626"/>
  <c r="R626" s="1"/>
  <c r="K625"/>
  <c r="L625" s="1"/>
  <c r="O625" s="1"/>
  <c r="J625"/>
  <c r="P625"/>
  <c r="R625" s="1"/>
  <c r="K624"/>
  <c r="L624" s="1"/>
  <c r="O624" s="1"/>
  <c r="S624" s="1"/>
  <c r="J624"/>
  <c r="P624"/>
  <c r="R624" s="1"/>
  <c r="K623"/>
  <c r="L623" s="1"/>
  <c r="O623" s="1"/>
  <c r="S623" s="1"/>
  <c r="J623"/>
  <c r="P623"/>
  <c r="R623" s="1"/>
  <c r="P622"/>
  <c r="R622" s="1"/>
  <c r="K622"/>
  <c r="L622" s="1"/>
  <c r="O622" s="1"/>
  <c r="J621"/>
  <c r="P621"/>
  <c r="R621" s="1"/>
  <c r="J620"/>
  <c r="P620"/>
  <c r="R620" s="1"/>
  <c r="J619"/>
  <c r="P619"/>
  <c r="R619" s="1"/>
  <c r="J618"/>
  <c r="P618"/>
  <c r="R618" s="1"/>
  <c r="J617"/>
  <c r="P617"/>
  <c r="R617" s="1"/>
  <c r="J616"/>
  <c r="P616"/>
  <c r="R616" s="1"/>
  <c r="J615"/>
  <c r="P615"/>
  <c r="R615" s="1"/>
  <c r="J614"/>
  <c r="P614"/>
  <c r="R614" s="1"/>
  <c r="J613"/>
  <c r="P613"/>
  <c r="R613" s="1"/>
  <c r="J612"/>
  <c r="P612"/>
  <c r="R612" s="1"/>
  <c r="J611"/>
  <c r="P611"/>
  <c r="R611" s="1"/>
  <c r="J610"/>
  <c r="P610"/>
  <c r="R610" s="1"/>
  <c r="J609"/>
  <c r="P609"/>
  <c r="R609" s="1"/>
  <c r="J608"/>
  <c r="P608"/>
  <c r="R608" s="1"/>
  <c r="J607"/>
  <c r="P607"/>
  <c r="R607" s="1"/>
  <c r="R606"/>
  <c r="P606"/>
  <c r="K606"/>
  <c r="L606" s="1"/>
  <c r="O606" s="1"/>
  <c r="K605"/>
  <c r="L605" s="1"/>
  <c r="O605" s="1"/>
  <c r="J605"/>
  <c r="P605"/>
  <c r="R605" s="1"/>
  <c r="K604"/>
  <c r="L604" s="1"/>
  <c r="O604" s="1"/>
  <c r="J604"/>
  <c r="P604"/>
  <c r="R604" s="1"/>
  <c r="K603"/>
  <c r="L603" s="1"/>
  <c r="O603" s="1"/>
  <c r="S603" s="1"/>
  <c r="J603"/>
  <c r="P603"/>
  <c r="R603" s="1"/>
  <c r="K602"/>
  <c r="L602" s="1"/>
  <c r="O602" s="1"/>
  <c r="S602" s="1"/>
  <c r="J602"/>
  <c r="P602"/>
  <c r="R602" s="1"/>
  <c r="K601"/>
  <c r="L601" s="1"/>
  <c r="O601" s="1"/>
  <c r="J601"/>
  <c r="P601"/>
  <c r="R601" s="1"/>
  <c r="K600"/>
  <c r="L600" s="1"/>
  <c r="O600" s="1"/>
  <c r="J600"/>
  <c r="P600"/>
  <c r="R600" s="1"/>
  <c r="G599"/>
  <c r="P599" s="1"/>
  <c r="R599" s="1"/>
  <c r="G598"/>
  <c r="J597"/>
  <c r="P597"/>
  <c r="R597" s="1"/>
  <c r="G597"/>
  <c r="J596"/>
  <c r="G596"/>
  <c r="K595"/>
  <c r="L595" s="1"/>
  <c r="J595"/>
  <c r="Q568"/>
  <c r="N568"/>
  <c r="M568"/>
  <c r="H568"/>
  <c r="F568"/>
  <c r="E568"/>
  <c r="P567"/>
  <c r="R567" s="1"/>
  <c r="S567" s="1"/>
  <c r="O567"/>
  <c r="P566"/>
  <c r="R566" s="1"/>
  <c r="L566"/>
  <c r="O566" s="1"/>
  <c r="K566"/>
  <c r="P565"/>
  <c r="R565" s="1"/>
  <c r="L565"/>
  <c r="O565" s="1"/>
  <c r="S565" s="1"/>
  <c r="K565"/>
  <c r="P564"/>
  <c r="R564" s="1"/>
  <c r="J564"/>
  <c r="K564" s="1"/>
  <c r="L564" s="1"/>
  <c r="O564" s="1"/>
  <c r="J563"/>
  <c r="P563"/>
  <c r="R563" s="1"/>
  <c r="J562"/>
  <c r="P562"/>
  <c r="R562" s="1"/>
  <c r="J561"/>
  <c r="P561"/>
  <c r="R561" s="1"/>
  <c r="J560"/>
  <c r="P560"/>
  <c r="R560" s="1"/>
  <c r="J559"/>
  <c r="P559"/>
  <c r="R559" s="1"/>
  <c r="R558"/>
  <c r="P558"/>
  <c r="K558"/>
  <c r="L558" s="1"/>
  <c r="O558" s="1"/>
  <c r="S558" s="1"/>
  <c r="K557"/>
  <c r="L557" s="1"/>
  <c r="O557" s="1"/>
  <c r="S557" s="1"/>
  <c r="J557"/>
  <c r="P557"/>
  <c r="R557" s="1"/>
  <c r="K556"/>
  <c r="L556" s="1"/>
  <c r="O556" s="1"/>
  <c r="S556" s="1"/>
  <c r="J556"/>
  <c r="P556"/>
  <c r="R556" s="1"/>
  <c r="K555"/>
  <c r="L555" s="1"/>
  <c r="O555" s="1"/>
  <c r="J555"/>
  <c r="P555"/>
  <c r="R555" s="1"/>
  <c r="K554"/>
  <c r="L554" s="1"/>
  <c r="O554" s="1"/>
  <c r="J554"/>
  <c r="P554"/>
  <c r="R554" s="1"/>
  <c r="K553"/>
  <c r="L553" s="1"/>
  <c r="O553" s="1"/>
  <c r="J553"/>
  <c r="P553"/>
  <c r="R553" s="1"/>
  <c r="K552"/>
  <c r="L552" s="1"/>
  <c r="O552" s="1"/>
  <c r="J552"/>
  <c r="P552"/>
  <c r="R552" s="1"/>
  <c r="K551"/>
  <c r="L551" s="1"/>
  <c r="O551" s="1"/>
  <c r="J551"/>
  <c r="P551"/>
  <c r="R551" s="1"/>
  <c r="K550"/>
  <c r="L550" s="1"/>
  <c r="O550" s="1"/>
  <c r="J550"/>
  <c r="P550"/>
  <c r="R550" s="1"/>
  <c r="K549"/>
  <c r="L549" s="1"/>
  <c r="O549" s="1"/>
  <c r="J549"/>
  <c r="P549"/>
  <c r="R549" s="1"/>
  <c r="K548"/>
  <c r="L548" s="1"/>
  <c r="O548" s="1"/>
  <c r="J548"/>
  <c r="P548"/>
  <c r="R548" s="1"/>
  <c r="K547"/>
  <c r="L547" s="1"/>
  <c r="O547" s="1"/>
  <c r="J547"/>
  <c r="P547"/>
  <c r="R547" s="1"/>
  <c r="K546"/>
  <c r="L546" s="1"/>
  <c r="O546" s="1"/>
  <c r="J546"/>
  <c r="P546"/>
  <c r="R546" s="1"/>
  <c r="K545"/>
  <c r="L545" s="1"/>
  <c r="O545" s="1"/>
  <c r="J545"/>
  <c r="P545"/>
  <c r="R545" s="1"/>
  <c r="K544"/>
  <c r="L544" s="1"/>
  <c r="O544" s="1"/>
  <c r="J544"/>
  <c r="P544"/>
  <c r="R544" s="1"/>
  <c r="K543"/>
  <c r="L543" s="1"/>
  <c r="O543" s="1"/>
  <c r="J543"/>
  <c r="P543"/>
  <c r="R543" s="1"/>
  <c r="R542"/>
  <c r="P542"/>
  <c r="K542"/>
  <c r="L542" s="1"/>
  <c r="O542" s="1"/>
  <c r="S542" s="1"/>
  <c r="J541"/>
  <c r="J540"/>
  <c r="J539"/>
  <c r="J538"/>
  <c r="J537"/>
  <c r="P537"/>
  <c r="R537" s="1"/>
  <c r="K536"/>
  <c r="L536" s="1"/>
  <c r="O536" s="1"/>
  <c r="J536"/>
  <c r="P536"/>
  <c r="R536" s="1"/>
  <c r="O535"/>
  <c r="K535"/>
  <c r="L535" s="1"/>
  <c r="J535"/>
  <c r="P535"/>
  <c r="R535" s="1"/>
  <c r="G535"/>
  <c r="J534"/>
  <c r="G534"/>
  <c r="G533"/>
  <c r="J532"/>
  <c r="G532"/>
  <c r="J531"/>
  <c r="Q503"/>
  <c r="N503"/>
  <c r="M503"/>
  <c r="H503"/>
  <c r="F503"/>
  <c r="E503"/>
  <c r="P502"/>
  <c r="R502" s="1"/>
  <c r="S502" s="1"/>
  <c r="O502"/>
  <c r="P501"/>
  <c r="R501" s="1"/>
  <c r="L501"/>
  <c r="O501" s="1"/>
  <c r="S501" s="1"/>
  <c r="K501"/>
  <c r="P500"/>
  <c r="R500" s="1"/>
  <c r="L500"/>
  <c r="O500" s="1"/>
  <c r="S500" s="1"/>
  <c r="K500"/>
  <c r="P499"/>
  <c r="R499" s="1"/>
  <c r="L499"/>
  <c r="O499" s="1"/>
  <c r="S499" s="1"/>
  <c r="J499"/>
  <c r="K499" s="1"/>
  <c r="K498"/>
  <c r="L498" s="1"/>
  <c r="O498" s="1"/>
  <c r="J498"/>
  <c r="P498"/>
  <c r="R498" s="1"/>
  <c r="O497"/>
  <c r="K497"/>
  <c r="L497" s="1"/>
  <c r="J497"/>
  <c r="P497"/>
  <c r="R497" s="1"/>
  <c r="J496"/>
  <c r="P496"/>
  <c r="R496" s="1"/>
  <c r="J495"/>
  <c r="P495"/>
  <c r="R495" s="1"/>
  <c r="K494"/>
  <c r="L494" s="1"/>
  <c r="O494" s="1"/>
  <c r="J494"/>
  <c r="P494"/>
  <c r="R494" s="1"/>
  <c r="R493"/>
  <c r="P493"/>
  <c r="O493"/>
  <c r="K493"/>
  <c r="L493" s="1"/>
  <c r="O492"/>
  <c r="K492"/>
  <c r="L492" s="1"/>
  <c r="J492"/>
  <c r="P492"/>
  <c r="R492" s="1"/>
  <c r="J491"/>
  <c r="P491"/>
  <c r="R491" s="1"/>
  <c r="J490"/>
  <c r="P490"/>
  <c r="R490" s="1"/>
  <c r="K489"/>
  <c r="L489" s="1"/>
  <c r="O489" s="1"/>
  <c r="J489"/>
  <c r="P489"/>
  <c r="R489" s="1"/>
  <c r="K488"/>
  <c r="L488" s="1"/>
  <c r="O488" s="1"/>
  <c r="J488"/>
  <c r="P488"/>
  <c r="R488" s="1"/>
  <c r="J487"/>
  <c r="P487"/>
  <c r="R487" s="1"/>
  <c r="J486"/>
  <c r="P486"/>
  <c r="R486" s="1"/>
  <c r="K485"/>
  <c r="L485" s="1"/>
  <c r="O485" s="1"/>
  <c r="J485"/>
  <c r="P485"/>
  <c r="R485" s="1"/>
  <c r="O484"/>
  <c r="K484"/>
  <c r="L484" s="1"/>
  <c r="J484"/>
  <c r="P484"/>
  <c r="R484" s="1"/>
  <c r="J483"/>
  <c r="P483"/>
  <c r="R483" s="1"/>
  <c r="J482"/>
  <c r="P482"/>
  <c r="R482" s="1"/>
  <c r="K481"/>
  <c r="L481" s="1"/>
  <c r="O481" s="1"/>
  <c r="J481"/>
  <c r="P481"/>
  <c r="R481" s="1"/>
  <c r="O480"/>
  <c r="K480"/>
  <c r="L480" s="1"/>
  <c r="J480"/>
  <c r="P480"/>
  <c r="R480" s="1"/>
  <c r="J479"/>
  <c r="P479"/>
  <c r="R479" s="1"/>
  <c r="J478"/>
  <c r="P478"/>
  <c r="R478" s="1"/>
  <c r="R477"/>
  <c r="P477"/>
  <c r="K477"/>
  <c r="L477" s="1"/>
  <c r="O477" s="1"/>
  <c r="S477" s="1"/>
  <c r="K476"/>
  <c r="L476" s="1"/>
  <c r="O476" s="1"/>
  <c r="J476"/>
  <c r="P476"/>
  <c r="R476" s="1"/>
  <c r="O475"/>
  <c r="K475"/>
  <c r="L475" s="1"/>
  <c r="J475"/>
  <c r="P475"/>
  <c r="R475" s="1"/>
  <c r="J474"/>
  <c r="P474"/>
  <c r="R474" s="1"/>
  <c r="J473"/>
  <c r="P473"/>
  <c r="R473" s="1"/>
  <c r="K472"/>
  <c r="L472" s="1"/>
  <c r="O472" s="1"/>
  <c r="J472"/>
  <c r="P472"/>
  <c r="R472" s="1"/>
  <c r="K471"/>
  <c r="L471" s="1"/>
  <c r="O471" s="1"/>
  <c r="J471"/>
  <c r="P471"/>
  <c r="R471" s="1"/>
  <c r="G470"/>
  <c r="P470" s="1"/>
  <c r="R470" s="1"/>
  <c r="J469"/>
  <c r="G469"/>
  <c r="K468"/>
  <c r="L468" s="1"/>
  <c r="O468" s="1"/>
  <c r="J468"/>
  <c r="P468"/>
  <c r="R468" s="1"/>
  <c r="O467"/>
  <c r="K467"/>
  <c r="L467" s="1"/>
  <c r="J467"/>
  <c r="P467"/>
  <c r="R467" s="1"/>
  <c r="G467"/>
  <c r="G503" s="1"/>
  <c r="P466"/>
  <c r="R466" s="1"/>
  <c r="J466"/>
  <c r="K466" s="1"/>
  <c r="J714" i="10"/>
  <c r="G738" i="11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J701"/>
  <c r="J700" s="1"/>
  <c r="I701"/>
  <c r="I700" s="1"/>
  <c r="H701"/>
  <c r="H700" s="1"/>
  <c r="G701"/>
  <c r="F701"/>
  <c r="F700" s="1"/>
  <c r="Q725" i="10"/>
  <c r="N725"/>
  <c r="M725"/>
  <c r="H725"/>
  <c r="F725"/>
  <c r="E725"/>
  <c r="O724"/>
  <c r="P724" s="1"/>
  <c r="R724" s="1"/>
  <c r="P723"/>
  <c r="R723" s="1"/>
  <c r="K723"/>
  <c r="L723" s="1"/>
  <c r="O723" s="1"/>
  <c r="R722"/>
  <c r="P722"/>
  <c r="K722"/>
  <c r="L722" s="1"/>
  <c r="O722" s="1"/>
  <c r="P721"/>
  <c r="R721" s="1"/>
  <c r="J721"/>
  <c r="K721" s="1"/>
  <c r="L721" s="1"/>
  <c r="O721" s="1"/>
  <c r="J720"/>
  <c r="K720"/>
  <c r="L720" s="1"/>
  <c r="O720" s="1"/>
  <c r="J719"/>
  <c r="J718"/>
  <c r="K718"/>
  <c r="L718" s="1"/>
  <c r="O718" s="1"/>
  <c r="J717"/>
  <c r="I717"/>
  <c r="K716"/>
  <c r="P715"/>
  <c r="R715" s="1"/>
  <c r="K715"/>
  <c r="R714"/>
  <c r="P714"/>
  <c r="K714"/>
  <c r="L714" s="1"/>
  <c r="O714" s="1"/>
  <c r="P713"/>
  <c r="R713" s="1"/>
  <c r="K713"/>
  <c r="L713" s="1"/>
  <c r="O713" s="1"/>
  <c r="J713"/>
  <c r="J712"/>
  <c r="P712"/>
  <c r="R712" s="1"/>
  <c r="J711"/>
  <c r="K711"/>
  <c r="L711" s="1"/>
  <c r="O711" s="1"/>
  <c r="P710"/>
  <c r="R710" s="1"/>
  <c r="K710"/>
  <c r="L710" s="1"/>
  <c r="O710" s="1"/>
  <c r="J710"/>
  <c r="P709"/>
  <c r="R709" s="1"/>
  <c r="K709"/>
  <c r="L709" s="1"/>
  <c r="O709" s="1"/>
  <c r="J709"/>
  <c r="I709"/>
  <c r="J708"/>
  <c r="P708"/>
  <c r="R708" s="1"/>
  <c r="J707"/>
  <c r="K707"/>
  <c r="L707" s="1"/>
  <c r="O707" s="1"/>
  <c r="P706"/>
  <c r="R706" s="1"/>
  <c r="K706"/>
  <c r="L706" s="1"/>
  <c r="O706" s="1"/>
  <c r="J706"/>
  <c r="P705"/>
  <c r="R705" s="1"/>
  <c r="K705"/>
  <c r="L705" s="1"/>
  <c r="O705" s="1"/>
  <c r="J705"/>
  <c r="J704"/>
  <c r="P704"/>
  <c r="R704" s="1"/>
  <c r="J703"/>
  <c r="I703"/>
  <c r="K703" s="1"/>
  <c r="L703" s="1"/>
  <c r="O703" s="1"/>
  <c r="P702"/>
  <c r="R702" s="1"/>
  <c r="K702"/>
  <c r="L702" s="1"/>
  <c r="O702" s="1"/>
  <c r="J702"/>
  <c r="P701"/>
  <c r="R701" s="1"/>
  <c r="K701"/>
  <c r="L701" s="1"/>
  <c r="O701" s="1"/>
  <c r="J701"/>
  <c r="J700"/>
  <c r="P700"/>
  <c r="R700" s="1"/>
  <c r="R699"/>
  <c r="P699"/>
  <c r="K699"/>
  <c r="J697"/>
  <c r="K697"/>
  <c r="L697" s="1"/>
  <c r="O697" s="1"/>
  <c r="J696"/>
  <c r="J695"/>
  <c r="K695"/>
  <c r="L695" s="1"/>
  <c r="O695" s="1"/>
  <c r="J694"/>
  <c r="J693"/>
  <c r="I693"/>
  <c r="K693" s="1"/>
  <c r="L693" s="1"/>
  <c r="O693" s="1"/>
  <c r="G692"/>
  <c r="G691"/>
  <c r="J691" s="1"/>
  <c r="G690"/>
  <c r="G689"/>
  <c r="J688"/>
  <c r="G624"/>
  <c r="I652"/>
  <c r="I643"/>
  <c r="I651"/>
  <c r="P641" i="11"/>
  <c r="P640"/>
  <c r="P639"/>
  <c r="I649" i="10"/>
  <c r="I646"/>
  <c r="I653"/>
  <c r="I635"/>
  <c r="G623"/>
  <c r="I626"/>
  <c r="I638"/>
  <c r="I630"/>
  <c r="P599" i="11"/>
  <c r="P601" s="1"/>
  <c r="P604" s="1"/>
  <c r="E634"/>
  <c r="E633" s="1"/>
  <c r="G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J596"/>
  <c r="J595" s="1"/>
  <c r="I596"/>
  <c r="I595" s="1"/>
  <c r="H596"/>
  <c r="H595" s="1"/>
  <c r="G596"/>
  <c r="G595" s="1"/>
  <c r="F596"/>
  <c r="F595" s="1"/>
  <c r="I623" i="10"/>
  <c r="Q658"/>
  <c r="N658"/>
  <c r="M658"/>
  <c r="H658"/>
  <c r="F658"/>
  <c r="E658"/>
  <c r="O657"/>
  <c r="P656"/>
  <c r="R656" s="1"/>
  <c r="K656"/>
  <c r="L656" s="1"/>
  <c r="O656" s="1"/>
  <c r="P655"/>
  <c r="R655" s="1"/>
  <c r="K655"/>
  <c r="L655" s="1"/>
  <c r="O655" s="1"/>
  <c r="P654"/>
  <c r="R654" s="1"/>
  <c r="J654"/>
  <c r="K654" s="1"/>
  <c r="L654" s="1"/>
  <c r="O654" s="1"/>
  <c r="J653"/>
  <c r="J652"/>
  <c r="J651"/>
  <c r="J650"/>
  <c r="I650"/>
  <c r="J649"/>
  <c r="P648"/>
  <c r="R648" s="1"/>
  <c r="K648"/>
  <c r="L648" s="1"/>
  <c r="O648" s="1"/>
  <c r="J647"/>
  <c r="P647"/>
  <c r="R647" s="1"/>
  <c r="J646"/>
  <c r="P646"/>
  <c r="R646" s="1"/>
  <c r="J645"/>
  <c r="I645"/>
  <c r="P645" s="1"/>
  <c r="R645" s="1"/>
  <c r="J644"/>
  <c r="I644"/>
  <c r="K644" s="1"/>
  <c r="L644" s="1"/>
  <c r="O644" s="1"/>
  <c r="J643"/>
  <c r="J642"/>
  <c r="I642"/>
  <c r="P642" s="1"/>
  <c r="R642" s="1"/>
  <c r="J641"/>
  <c r="I641"/>
  <c r="P641" s="1"/>
  <c r="R641" s="1"/>
  <c r="J640"/>
  <c r="I640"/>
  <c r="K639"/>
  <c r="L639" s="1"/>
  <c r="O639" s="1"/>
  <c r="J639"/>
  <c r="I639"/>
  <c r="P639" s="1"/>
  <c r="R639" s="1"/>
  <c r="J638"/>
  <c r="P638"/>
  <c r="R638" s="1"/>
  <c r="J637"/>
  <c r="I637"/>
  <c r="J636"/>
  <c r="I636"/>
  <c r="P636" s="1"/>
  <c r="R636" s="1"/>
  <c r="J635"/>
  <c r="P635"/>
  <c r="R635" s="1"/>
  <c r="J634"/>
  <c r="I634"/>
  <c r="J633"/>
  <c r="I633"/>
  <c r="P632"/>
  <c r="R632" s="1"/>
  <c r="K632"/>
  <c r="L632" s="1"/>
  <c r="O632" s="1"/>
  <c r="J631"/>
  <c r="I631"/>
  <c r="J630"/>
  <c r="J629"/>
  <c r="I629"/>
  <c r="J628"/>
  <c r="I628"/>
  <c r="J627"/>
  <c r="I627"/>
  <c r="J626"/>
  <c r="G625"/>
  <c r="I625" s="1"/>
  <c r="J624"/>
  <c r="G622"/>
  <c r="I622" s="1"/>
  <c r="J621"/>
  <c r="I621"/>
  <c r="P621" s="1"/>
  <c r="R621" s="1"/>
  <c r="I586"/>
  <c r="P586" s="1"/>
  <c r="R586" s="1"/>
  <c r="I581"/>
  <c r="P581" s="1"/>
  <c r="R581" s="1"/>
  <c r="I578"/>
  <c r="P578" s="1"/>
  <c r="R578" s="1"/>
  <c r="I573"/>
  <c r="P573" s="1"/>
  <c r="R573" s="1"/>
  <c r="E562" i="11"/>
  <c r="E561" s="1"/>
  <c r="G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J524"/>
  <c r="J523" s="1"/>
  <c r="I524"/>
  <c r="I523" s="1"/>
  <c r="H524"/>
  <c r="H523" s="1"/>
  <c r="G524"/>
  <c r="G523" s="1"/>
  <c r="F524"/>
  <c r="F523" s="1"/>
  <c r="Q593" i="10"/>
  <c r="N593"/>
  <c r="H593"/>
  <c r="F593"/>
  <c r="E593"/>
  <c r="O592"/>
  <c r="P592" s="1"/>
  <c r="R592" s="1"/>
  <c r="S592" s="1"/>
  <c r="P591"/>
  <c r="R591" s="1"/>
  <c r="K591"/>
  <c r="L591" s="1"/>
  <c r="O591" s="1"/>
  <c r="P590"/>
  <c r="R590" s="1"/>
  <c r="K590"/>
  <c r="L590" s="1"/>
  <c r="O590" s="1"/>
  <c r="P589"/>
  <c r="R589" s="1"/>
  <c r="J589"/>
  <c r="K589" s="1"/>
  <c r="L589" s="1"/>
  <c r="O589" s="1"/>
  <c r="J588"/>
  <c r="I588"/>
  <c r="J587"/>
  <c r="I587"/>
  <c r="J586"/>
  <c r="J585"/>
  <c r="I585"/>
  <c r="J584"/>
  <c r="I584"/>
  <c r="P583"/>
  <c r="R583" s="1"/>
  <c r="K583"/>
  <c r="L583" s="1"/>
  <c r="J582"/>
  <c r="I582"/>
  <c r="P582" s="1"/>
  <c r="R582" s="1"/>
  <c r="J581"/>
  <c r="J580"/>
  <c r="I580"/>
  <c r="P580" s="1"/>
  <c r="R580" s="1"/>
  <c r="J579"/>
  <c r="I579"/>
  <c r="P579" s="1"/>
  <c r="R579" s="1"/>
  <c r="J578"/>
  <c r="J577"/>
  <c r="I577"/>
  <c r="P577" s="1"/>
  <c r="R577" s="1"/>
  <c r="J576"/>
  <c r="I576"/>
  <c r="P576" s="1"/>
  <c r="R576" s="1"/>
  <c r="J575"/>
  <c r="I575"/>
  <c r="P575" s="1"/>
  <c r="R575" s="1"/>
  <c r="J574"/>
  <c r="I574"/>
  <c r="P574" s="1"/>
  <c r="R574" s="1"/>
  <c r="J573"/>
  <c r="J572"/>
  <c r="I572"/>
  <c r="P572" s="1"/>
  <c r="R572" s="1"/>
  <c r="J571"/>
  <c r="I571"/>
  <c r="P571" s="1"/>
  <c r="R571" s="1"/>
  <c r="J570"/>
  <c r="I570"/>
  <c r="P570" s="1"/>
  <c r="R570" s="1"/>
  <c r="J569"/>
  <c r="I569"/>
  <c r="P569" s="1"/>
  <c r="R569" s="1"/>
  <c r="J568"/>
  <c r="I568"/>
  <c r="P568" s="1"/>
  <c r="R568" s="1"/>
  <c r="P567"/>
  <c r="R567" s="1"/>
  <c r="K567"/>
  <c r="L567" s="1"/>
  <c r="O567" s="1"/>
  <c r="J566"/>
  <c r="I566"/>
  <c r="P566" s="1"/>
  <c r="R566" s="1"/>
  <c r="J565"/>
  <c r="I565"/>
  <c r="P565" s="1"/>
  <c r="R565" s="1"/>
  <c r="J564"/>
  <c r="I564"/>
  <c r="P564" s="1"/>
  <c r="R564" s="1"/>
  <c r="J563"/>
  <c r="I563"/>
  <c r="J562"/>
  <c r="I562"/>
  <c r="P562" s="1"/>
  <c r="R562" s="1"/>
  <c r="J561"/>
  <c r="I561"/>
  <c r="P561" s="1"/>
  <c r="R561" s="1"/>
  <c r="G560"/>
  <c r="I560" s="1"/>
  <c r="G559"/>
  <c r="I559" s="1"/>
  <c r="J558"/>
  <c r="I558"/>
  <c r="P558" s="1"/>
  <c r="R558" s="1"/>
  <c r="G557"/>
  <c r="I557" s="1"/>
  <c r="J556"/>
  <c r="I556"/>
  <c r="I515"/>
  <c r="I504"/>
  <c r="P504" s="1"/>
  <c r="R504" s="1"/>
  <c r="I495"/>
  <c r="I494"/>
  <c r="I493"/>
  <c r="I491"/>
  <c r="P513"/>
  <c r="E490" i="11"/>
  <c r="E489" s="1"/>
  <c r="G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J452"/>
  <c r="J451" s="1"/>
  <c r="I452"/>
  <c r="I451" s="1"/>
  <c r="H452"/>
  <c r="H451" s="1"/>
  <c r="G452"/>
  <c r="F452"/>
  <c r="F451" s="1"/>
  <c r="J427" i="12"/>
  <c r="I437" i="10"/>
  <c r="P437" s="1"/>
  <c r="R437" s="1"/>
  <c r="M433" i="12"/>
  <c r="M443"/>
  <c r="Q523" i="10"/>
  <c r="N523"/>
  <c r="H523"/>
  <c r="F523"/>
  <c r="E523"/>
  <c r="O522"/>
  <c r="P522" s="1"/>
  <c r="R522" s="1"/>
  <c r="P521"/>
  <c r="R521" s="1"/>
  <c r="K521"/>
  <c r="L521" s="1"/>
  <c r="O521" s="1"/>
  <c r="P520"/>
  <c r="R520" s="1"/>
  <c r="K520"/>
  <c r="L520" s="1"/>
  <c r="O520" s="1"/>
  <c r="P519"/>
  <c r="R519" s="1"/>
  <c r="J519"/>
  <c r="K519" s="1"/>
  <c r="L519" s="1"/>
  <c r="O519" s="1"/>
  <c r="J518"/>
  <c r="I518"/>
  <c r="J517"/>
  <c r="I517"/>
  <c r="J516"/>
  <c r="I516"/>
  <c r="J515"/>
  <c r="J514"/>
  <c r="I514"/>
  <c r="K513"/>
  <c r="L513" s="1"/>
  <c r="J512"/>
  <c r="I512"/>
  <c r="J511"/>
  <c r="I511"/>
  <c r="P511" s="1"/>
  <c r="R511" s="1"/>
  <c r="J510"/>
  <c r="I510"/>
  <c r="P510" s="1"/>
  <c r="R510" s="1"/>
  <c r="J509"/>
  <c r="I509"/>
  <c r="P509" s="1"/>
  <c r="R509" s="1"/>
  <c r="J508"/>
  <c r="I508"/>
  <c r="J507"/>
  <c r="I507"/>
  <c r="P507" s="1"/>
  <c r="R507" s="1"/>
  <c r="J506"/>
  <c r="I506"/>
  <c r="P506" s="1"/>
  <c r="R506" s="1"/>
  <c r="J505"/>
  <c r="I505"/>
  <c r="P505" s="1"/>
  <c r="R505" s="1"/>
  <c r="J504"/>
  <c r="J503"/>
  <c r="I503"/>
  <c r="P503" s="1"/>
  <c r="R503" s="1"/>
  <c r="J502"/>
  <c r="I502"/>
  <c r="P502" s="1"/>
  <c r="R502" s="1"/>
  <c r="J501"/>
  <c r="I501"/>
  <c r="P501" s="1"/>
  <c r="R501" s="1"/>
  <c r="J500"/>
  <c r="I500"/>
  <c r="J499"/>
  <c r="I499"/>
  <c r="P499" s="1"/>
  <c r="R499" s="1"/>
  <c r="J498"/>
  <c r="I498"/>
  <c r="P498" s="1"/>
  <c r="R498" s="1"/>
  <c r="P497"/>
  <c r="R497" s="1"/>
  <c r="K497"/>
  <c r="L497" s="1"/>
  <c r="O497" s="1"/>
  <c r="J496"/>
  <c r="I496"/>
  <c r="J495"/>
  <c r="J494"/>
  <c r="J493"/>
  <c r="J492"/>
  <c r="I492"/>
  <c r="J491"/>
  <c r="G490"/>
  <c r="I490" s="1"/>
  <c r="G489"/>
  <c r="J489" s="1"/>
  <c r="J488"/>
  <c r="I488"/>
  <c r="P488" s="1"/>
  <c r="R488" s="1"/>
  <c r="G487"/>
  <c r="J486"/>
  <c r="I486"/>
  <c r="P486" s="1"/>
  <c r="R486" s="1"/>
  <c r="Q453"/>
  <c r="N453"/>
  <c r="M453"/>
  <c r="H453"/>
  <c r="F453"/>
  <c r="E453"/>
  <c r="O452"/>
  <c r="P452" s="1"/>
  <c r="R452" s="1"/>
  <c r="R451"/>
  <c r="P451"/>
  <c r="K451"/>
  <c r="L451" s="1"/>
  <c r="O451" s="1"/>
  <c r="P450"/>
  <c r="R450" s="1"/>
  <c r="K450"/>
  <c r="L450" s="1"/>
  <c r="O450" s="1"/>
  <c r="P449"/>
  <c r="R449" s="1"/>
  <c r="J449"/>
  <c r="K449" s="1"/>
  <c r="L449" s="1"/>
  <c r="O449" s="1"/>
  <c r="J448"/>
  <c r="I448"/>
  <c r="P448" s="1"/>
  <c r="R448" s="1"/>
  <c r="J447"/>
  <c r="I447"/>
  <c r="P447" s="1"/>
  <c r="R447" s="1"/>
  <c r="J446"/>
  <c r="I446"/>
  <c r="P446" s="1"/>
  <c r="R446" s="1"/>
  <c r="J445"/>
  <c r="I445"/>
  <c r="P445" s="1"/>
  <c r="R445" s="1"/>
  <c r="J444"/>
  <c r="I444"/>
  <c r="P444" s="1"/>
  <c r="R444" s="1"/>
  <c r="P443"/>
  <c r="R443" s="1"/>
  <c r="K443"/>
  <c r="L443" s="1"/>
  <c r="O443" s="1"/>
  <c r="J442"/>
  <c r="I442"/>
  <c r="J441"/>
  <c r="I441"/>
  <c r="P441" s="1"/>
  <c r="R441" s="1"/>
  <c r="J440"/>
  <c r="I440"/>
  <c r="P440" s="1"/>
  <c r="R440" s="1"/>
  <c r="J439"/>
  <c r="I439"/>
  <c r="P439" s="1"/>
  <c r="R439" s="1"/>
  <c r="J438"/>
  <c r="I438"/>
  <c r="J437"/>
  <c r="J436"/>
  <c r="I436"/>
  <c r="P436" s="1"/>
  <c r="R436" s="1"/>
  <c r="J435"/>
  <c r="I435"/>
  <c r="P435" s="1"/>
  <c r="R435" s="1"/>
  <c r="J434"/>
  <c r="I434"/>
  <c r="J433"/>
  <c r="I433"/>
  <c r="P433" s="1"/>
  <c r="R433" s="1"/>
  <c r="J432"/>
  <c r="I432"/>
  <c r="J431"/>
  <c r="I431"/>
  <c r="P431" s="1"/>
  <c r="R431" s="1"/>
  <c r="J430"/>
  <c r="I430"/>
  <c r="J429"/>
  <c r="I429"/>
  <c r="P429" s="1"/>
  <c r="R429" s="1"/>
  <c r="J428"/>
  <c r="I428"/>
  <c r="P428" s="1"/>
  <c r="R428" s="1"/>
  <c r="P427"/>
  <c r="R427" s="1"/>
  <c r="K427"/>
  <c r="L427" s="1"/>
  <c r="O427" s="1"/>
  <c r="J426"/>
  <c r="I426"/>
  <c r="P426" s="1"/>
  <c r="R426" s="1"/>
  <c r="J425"/>
  <c r="I425"/>
  <c r="P425" s="1"/>
  <c r="R425" s="1"/>
  <c r="J424"/>
  <c r="I424"/>
  <c r="P424" s="1"/>
  <c r="R424" s="1"/>
  <c r="J423"/>
  <c r="I423"/>
  <c r="P423" s="1"/>
  <c r="R423" s="1"/>
  <c r="J422"/>
  <c r="I422"/>
  <c r="P422" s="1"/>
  <c r="R422" s="1"/>
  <c r="J421"/>
  <c r="I421"/>
  <c r="P421" s="1"/>
  <c r="R421" s="1"/>
  <c r="G420"/>
  <c r="I420" s="1"/>
  <c r="G419"/>
  <c r="I419" s="1"/>
  <c r="J418"/>
  <c r="I418"/>
  <c r="G417"/>
  <c r="I417" s="1"/>
  <c r="J416"/>
  <c r="I416"/>
  <c r="P416" s="1"/>
  <c r="R416" s="1"/>
  <c r="I374"/>
  <c r="P374" s="1"/>
  <c r="R374" s="1"/>
  <c r="I363"/>
  <c r="P363" s="1"/>
  <c r="R363" s="1"/>
  <c r="I366"/>
  <c r="P366" s="1"/>
  <c r="R366" s="1"/>
  <c r="I365"/>
  <c r="P365" s="1"/>
  <c r="R365" s="1"/>
  <c r="I352"/>
  <c r="P352" s="1"/>
  <c r="R352" s="1"/>
  <c r="I367"/>
  <c r="P367" s="1"/>
  <c r="R367" s="1"/>
  <c r="I380"/>
  <c r="I373"/>
  <c r="P373" s="1"/>
  <c r="R373" s="1"/>
  <c r="I364"/>
  <c r="P364" s="1"/>
  <c r="R364" s="1"/>
  <c r="I359"/>
  <c r="P359" s="1"/>
  <c r="R359" s="1"/>
  <c r="I378"/>
  <c r="P378" s="1"/>
  <c r="R378" s="1"/>
  <c r="I371"/>
  <c r="P371" s="1"/>
  <c r="R371" s="1"/>
  <c r="I358"/>
  <c r="P358" s="1"/>
  <c r="R358" s="1"/>
  <c r="J414" i="12"/>
  <c r="Q443"/>
  <c r="N443"/>
  <c r="I443"/>
  <c r="H443"/>
  <c r="F443"/>
  <c r="E443"/>
  <c r="S442"/>
  <c r="R442"/>
  <c r="P442"/>
  <c r="O442"/>
  <c r="R441"/>
  <c r="P441"/>
  <c r="L441"/>
  <c r="O441" s="1"/>
  <c r="S441" s="1"/>
  <c r="K441"/>
  <c r="P440"/>
  <c r="R440" s="1"/>
  <c r="O440"/>
  <c r="L440"/>
  <c r="K440"/>
  <c r="R439"/>
  <c r="P439"/>
  <c r="L439"/>
  <c r="O439" s="1"/>
  <c r="S439" s="1"/>
  <c r="K439"/>
  <c r="J439"/>
  <c r="R438"/>
  <c r="P438"/>
  <c r="K438"/>
  <c r="L438" s="1"/>
  <c r="O438" s="1"/>
  <c r="S438" s="1"/>
  <c r="J438"/>
  <c r="P437"/>
  <c r="R437" s="1"/>
  <c r="J437"/>
  <c r="K437" s="1"/>
  <c r="L437" s="1"/>
  <c r="O437" s="1"/>
  <c r="S437" s="1"/>
  <c r="R436"/>
  <c r="P436"/>
  <c r="O436"/>
  <c r="S436" s="1"/>
  <c r="L436"/>
  <c r="K436"/>
  <c r="J436"/>
  <c r="R435"/>
  <c r="P435"/>
  <c r="L435"/>
  <c r="O435" s="1"/>
  <c r="S435" s="1"/>
  <c r="K435"/>
  <c r="J435"/>
  <c r="R434"/>
  <c r="P434"/>
  <c r="K434"/>
  <c r="L434" s="1"/>
  <c r="O434" s="1"/>
  <c r="S434" s="1"/>
  <c r="J434"/>
  <c r="L433"/>
  <c r="K433"/>
  <c r="R432"/>
  <c r="P432"/>
  <c r="L432"/>
  <c r="O432" s="1"/>
  <c r="S432" s="1"/>
  <c r="K432"/>
  <c r="J432"/>
  <c r="R431"/>
  <c r="P431"/>
  <c r="K431"/>
  <c r="L431" s="1"/>
  <c r="O431" s="1"/>
  <c r="S431" s="1"/>
  <c r="J431"/>
  <c r="P430"/>
  <c r="R430" s="1"/>
  <c r="J430"/>
  <c r="K430" s="1"/>
  <c r="L430" s="1"/>
  <c r="O430" s="1"/>
  <c r="R429"/>
  <c r="P429"/>
  <c r="O429"/>
  <c r="S429" s="1"/>
  <c r="L429"/>
  <c r="K429"/>
  <c r="J429"/>
  <c r="R428"/>
  <c r="P428"/>
  <c r="L428"/>
  <c r="O428" s="1"/>
  <c r="S428" s="1"/>
  <c r="K428"/>
  <c r="J428"/>
  <c r="R427"/>
  <c r="P427"/>
  <c r="K427"/>
  <c r="L427" s="1"/>
  <c r="O427" s="1"/>
  <c r="S427" s="1"/>
  <c r="P426"/>
  <c r="R426" s="1"/>
  <c r="J426"/>
  <c r="K426" s="1"/>
  <c r="L426" s="1"/>
  <c r="O426" s="1"/>
  <c r="R425"/>
  <c r="P425"/>
  <c r="O425"/>
  <c r="S425" s="1"/>
  <c r="L425"/>
  <c r="K425"/>
  <c r="J425"/>
  <c r="R424"/>
  <c r="P424"/>
  <c r="L424"/>
  <c r="O424" s="1"/>
  <c r="S424" s="1"/>
  <c r="K424"/>
  <c r="J424"/>
  <c r="R423"/>
  <c r="P423"/>
  <c r="K423"/>
  <c r="L423" s="1"/>
  <c r="O423" s="1"/>
  <c r="S423" s="1"/>
  <c r="J423"/>
  <c r="P422"/>
  <c r="R422" s="1"/>
  <c r="J422"/>
  <c r="K422" s="1"/>
  <c r="L422" s="1"/>
  <c r="O422" s="1"/>
  <c r="S422" s="1"/>
  <c r="R421"/>
  <c r="P421"/>
  <c r="O421"/>
  <c r="S421" s="1"/>
  <c r="L421"/>
  <c r="K421"/>
  <c r="J421"/>
  <c r="R420"/>
  <c r="P420"/>
  <c r="L420"/>
  <c r="O420" s="1"/>
  <c r="S420" s="1"/>
  <c r="K420"/>
  <c r="J420"/>
  <c r="R419"/>
  <c r="P419"/>
  <c r="K419"/>
  <c r="L419" s="1"/>
  <c r="O419" s="1"/>
  <c r="S419" s="1"/>
  <c r="J419"/>
  <c r="P418"/>
  <c r="R418" s="1"/>
  <c r="J418"/>
  <c r="K418" s="1"/>
  <c r="L418" s="1"/>
  <c r="O418" s="1"/>
  <c r="R417"/>
  <c r="P417"/>
  <c r="O417"/>
  <c r="S417" s="1"/>
  <c r="L417"/>
  <c r="K417"/>
  <c r="R416"/>
  <c r="P416"/>
  <c r="K416"/>
  <c r="L416" s="1"/>
  <c r="O416" s="1"/>
  <c r="S416" s="1"/>
  <c r="J416"/>
  <c r="P415"/>
  <c r="R415" s="1"/>
  <c r="J415"/>
  <c r="K415" s="1"/>
  <c r="L415" s="1"/>
  <c r="O415" s="1"/>
  <c r="S415" s="1"/>
  <c r="R414"/>
  <c r="P414"/>
  <c r="O414"/>
  <c r="S414" s="1"/>
  <c r="L414"/>
  <c r="K414"/>
  <c r="R413"/>
  <c r="P413"/>
  <c r="L413"/>
  <c r="O413" s="1"/>
  <c r="S413" s="1"/>
  <c r="K413"/>
  <c r="J413"/>
  <c r="R412"/>
  <c r="P412"/>
  <c r="K412"/>
  <c r="L412" s="1"/>
  <c r="O412" s="1"/>
  <c r="S412" s="1"/>
  <c r="J412"/>
  <c r="P411"/>
  <c r="R411" s="1"/>
  <c r="J411"/>
  <c r="K411" s="1"/>
  <c r="L411" s="1"/>
  <c r="O411" s="1"/>
  <c r="G410"/>
  <c r="P410" s="1"/>
  <c r="R410" s="1"/>
  <c r="G409"/>
  <c r="P409" s="1"/>
  <c r="R408"/>
  <c r="P408"/>
  <c r="O408"/>
  <c r="S408" s="1"/>
  <c r="L408"/>
  <c r="K408"/>
  <c r="J408"/>
  <c r="R407"/>
  <c r="P407"/>
  <c r="L407"/>
  <c r="O407" s="1"/>
  <c r="S407" s="1"/>
  <c r="K407"/>
  <c r="J407"/>
  <c r="G407"/>
  <c r="R406"/>
  <c r="P406"/>
  <c r="L406"/>
  <c r="O406" s="1"/>
  <c r="K406"/>
  <c r="J406"/>
  <c r="C387"/>
  <c r="Q383"/>
  <c r="N383"/>
  <c r="M383"/>
  <c r="H383"/>
  <c r="F383"/>
  <c r="E383"/>
  <c r="R382"/>
  <c r="P382"/>
  <c r="O382"/>
  <c r="P381"/>
  <c r="R381" s="1"/>
  <c r="K381"/>
  <c r="L381" s="1"/>
  <c r="O381" s="1"/>
  <c r="P380"/>
  <c r="R380" s="1"/>
  <c r="O380"/>
  <c r="L380"/>
  <c r="K380"/>
  <c r="R379"/>
  <c r="P379"/>
  <c r="K379"/>
  <c r="L379" s="1"/>
  <c r="O379" s="1"/>
  <c r="J379"/>
  <c r="P378"/>
  <c r="R378" s="1"/>
  <c r="J378"/>
  <c r="P377"/>
  <c r="R377" s="1"/>
  <c r="J377"/>
  <c r="P376"/>
  <c r="R376" s="1"/>
  <c r="J376"/>
  <c r="P375"/>
  <c r="R375" s="1"/>
  <c r="J375"/>
  <c r="P374"/>
  <c r="R374" s="1"/>
  <c r="J374"/>
  <c r="P373"/>
  <c r="R373" s="1"/>
  <c r="L373"/>
  <c r="O373" s="1"/>
  <c r="K373"/>
  <c r="R372"/>
  <c r="P372"/>
  <c r="K372"/>
  <c r="L372" s="1"/>
  <c r="O372" s="1"/>
  <c r="S372" s="1"/>
  <c r="J372"/>
  <c r="R371"/>
  <c r="P371"/>
  <c r="L371"/>
  <c r="O371" s="1"/>
  <c r="S371" s="1"/>
  <c r="K371"/>
  <c r="J371"/>
  <c r="P370"/>
  <c r="R370" s="1"/>
  <c r="L370"/>
  <c r="O370" s="1"/>
  <c r="K370"/>
  <c r="J370"/>
  <c r="R369"/>
  <c r="P369"/>
  <c r="L369"/>
  <c r="O369" s="1"/>
  <c r="K369"/>
  <c r="J369"/>
  <c r="R368"/>
  <c r="P368"/>
  <c r="K368"/>
  <c r="L368" s="1"/>
  <c r="O368" s="1"/>
  <c r="J368"/>
  <c r="R367"/>
  <c r="P367"/>
  <c r="K367"/>
  <c r="L367" s="1"/>
  <c r="O367" s="1"/>
  <c r="S367" s="1"/>
  <c r="J367"/>
  <c r="R366"/>
  <c r="P366"/>
  <c r="L366"/>
  <c r="O366" s="1"/>
  <c r="S366" s="1"/>
  <c r="K366"/>
  <c r="J366"/>
  <c r="P365"/>
  <c r="R365" s="1"/>
  <c r="L365"/>
  <c r="O365" s="1"/>
  <c r="K365"/>
  <c r="J365"/>
  <c r="R364"/>
  <c r="P364"/>
  <c r="K364"/>
  <c r="L364" s="1"/>
  <c r="O364" s="1"/>
  <c r="J364"/>
  <c r="R363"/>
  <c r="P363"/>
  <c r="L363"/>
  <c r="O363" s="1"/>
  <c r="K363"/>
  <c r="J363"/>
  <c r="R362"/>
  <c r="P362"/>
  <c r="K362"/>
  <c r="L362" s="1"/>
  <c r="O362" s="1"/>
  <c r="S362" s="1"/>
  <c r="J362"/>
  <c r="R361"/>
  <c r="P361"/>
  <c r="L361"/>
  <c r="O361" s="1"/>
  <c r="S361" s="1"/>
  <c r="K361"/>
  <c r="J361"/>
  <c r="P360"/>
  <c r="R360" s="1"/>
  <c r="K360"/>
  <c r="L360" s="1"/>
  <c r="O360" s="1"/>
  <c r="J360"/>
  <c r="P359"/>
  <c r="R359" s="1"/>
  <c r="L359"/>
  <c r="O359" s="1"/>
  <c r="K359"/>
  <c r="J359"/>
  <c r="R358"/>
  <c r="P358"/>
  <c r="L358"/>
  <c r="O358" s="1"/>
  <c r="K358"/>
  <c r="J358"/>
  <c r="R357"/>
  <c r="P357"/>
  <c r="K357"/>
  <c r="L357" s="1"/>
  <c r="O357" s="1"/>
  <c r="S357" s="1"/>
  <c r="J356"/>
  <c r="J355"/>
  <c r="J354"/>
  <c r="J353"/>
  <c r="J352"/>
  <c r="J351"/>
  <c r="J350"/>
  <c r="P350"/>
  <c r="R350" s="1"/>
  <c r="G350"/>
  <c r="P349"/>
  <c r="R349" s="1"/>
  <c r="K349"/>
  <c r="L349" s="1"/>
  <c r="O349" s="1"/>
  <c r="J349"/>
  <c r="G349"/>
  <c r="R348"/>
  <c r="P348"/>
  <c r="L348"/>
  <c r="O348" s="1"/>
  <c r="S348" s="1"/>
  <c r="K348"/>
  <c r="J348"/>
  <c r="G347"/>
  <c r="J346"/>
  <c r="Q316"/>
  <c r="N316"/>
  <c r="M316"/>
  <c r="H316"/>
  <c r="F316"/>
  <c r="E316"/>
  <c r="S315"/>
  <c r="R315"/>
  <c r="P315"/>
  <c r="O315"/>
  <c r="R314"/>
  <c r="P314"/>
  <c r="L314"/>
  <c r="O314" s="1"/>
  <c r="S314" s="1"/>
  <c r="K314"/>
  <c r="P313"/>
  <c r="R313" s="1"/>
  <c r="O313"/>
  <c r="S313" s="1"/>
  <c r="L313"/>
  <c r="K313"/>
  <c r="R312"/>
  <c r="P312"/>
  <c r="K312"/>
  <c r="L312" s="1"/>
  <c r="O312" s="1"/>
  <c r="S312" s="1"/>
  <c r="J312"/>
  <c r="R311"/>
  <c r="P311"/>
  <c r="J311"/>
  <c r="K311" s="1"/>
  <c r="L311" s="1"/>
  <c r="O311" s="1"/>
  <c r="R310"/>
  <c r="P310"/>
  <c r="K310"/>
  <c r="L310" s="1"/>
  <c r="O310" s="1"/>
  <c r="J310"/>
  <c r="P309"/>
  <c r="R309" s="1"/>
  <c r="K309"/>
  <c r="L309" s="1"/>
  <c r="O309" s="1"/>
  <c r="J309"/>
  <c r="P308"/>
  <c r="R308" s="1"/>
  <c r="K308"/>
  <c r="L308" s="1"/>
  <c r="O308" s="1"/>
  <c r="J308"/>
  <c r="P307"/>
  <c r="R307" s="1"/>
  <c r="J307"/>
  <c r="K307" s="1"/>
  <c r="L307" s="1"/>
  <c r="O307" s="1"/>
  <c r="P306"/>
  <c r="R306" s="1"/>
  <c r="K306"/>
  <c r="L306" s="1"/>
  <c r="O306" s="1"/>
  <c r="J305"/>
  <c r="J304"/>
  <c r="J303"/>
  <c r="J302"/>
  <c r="J301"/>
  <c r="J300"/>
  <c r="J299"/>
  <c r="J298"/>
  <c r="J297"/>
  <c r="J296"/>
  <c r="J295"/>
  <c r="J294"/>
  <c r="J293"/>
  <c r="J292"/>
  <c r="J291"/>
  <c r="R290"/>
  <c r="P290"/>
  <c r="K290"/>
  <c r="L290" s="1"/>
  <c r="O290" s="1"/>
  <c r="S290" s="1"/>
  <c r="R289"/>
  <c r="P289"/>
  <c r="K289"/>
  <c r="L289" s="1"/>
  <c r="O289" s="1"/>
  <c r="J289"/>
  <c r="P288"/>
  <c r="R288" s="1"/>
  <c r="K288"/>
  <c r="L288" s="1"/>
  <c r="O288" s="1"/>
  <c r="J288"/>
  <c r="P287"/>
  <c r="R287" s="1"/>
  <c r="K287"/>
  <c r="L287" s="1"/>
  <c r="O287" s="1"/>
  <c r="J287"/>
  <c r="P286"/>
  <c r="R286" s="1"/>
  <c r="J286"/>
  <c r="K286" s="1"/>
  <c r="L286" s="1"/>
  <c r="O286" s="1"/>
  <c r="P285"/>
  <c r="R285" s="1"/>
  <c r="K285"/>
  <c r="L285" s="1"/>
  <c r="O285" s="1"/>
  <c r="J285"/>
  <c r="P284"/>
  <c r="R284" s="1"/>
  <c r="K284"/>
  <c r="L284" s="1"/>
  <c r="O284" s="1"/>
  <c r="J284"/>
  <c r="R283"/>
  <c r="P283"/>
  <c r="K283"/>
  <c r="L283" s="1"/>
  <c r="O283" s="1"/>
  <c r="J283"/>
  <c r="G283"/>
  <c r="G282"/>
  <c r="J281"/>
  <c r="G280"/>
  <c r="J279"/>
  <c r="C258"/>
  <c r="C257"/>
  <c r="Q250"/>
  <c r="N250"/>
  <c r="H250"/>
  <c r="F250"/>
  <c r="E250"/>
  <c r="R249"/>
  <c r="P249"/>
  <c r="O249"/>
  <c r="S249" s="1"/>
  <c r="R248"/>
  <c r="P248"/>
  <c r="K248"/>
  <c r="L248" s="1"/>
  <c r="O248" s="1"/>
  <c r="R247"/>
  <c r="P247"/>
  <c r="K247"/>
  <c r="L247" s="1"/>
  <c r="O247" s="1"/>
  <c r="S247" s="1"/>
  <c r="R246"/>
  <c r="P246"/>
  <c r="K246"/>
  <c r="L246" s="1"/>
  <c r="O246" s="1"/>
  <c r="J246"/>
  <c r="J245"/>
  <c r="J244"/>
  <c r="J243"/>
  <c r="J242"/>
  <c r="J241"/>
  <c r="K240"/>
  <c r="L240" s="1"/>
  <c r="M240" s="1"/>
  <c r="K239"/>
  <c r="L239" s="1"/>
  <c r="O239" s="1"/>
  <c r="S239" s="1"/>
  <c r="J239"/>
  <c r="P239"/>
  <c r="R239" s="1"/>
  <c r="K238"/>
  <c r="L238" s="1"/>
  <c r="O238" s="1"/>
  <c r="J238"/>
  <c r="P238"/>
  <c r="R238" s="1"/>
  <c r="J237"/>
  <c r="P237"/>
  <c r="R237" s="1"/>
  <c r="J236"/>
  <c r="P236"/>
  <c r="R236" s="1"/>
  <c r="L235"/>
  <c r="O235" s="1"/>
  <c r="K235"/>
  <c r="J235"/>
  <c r="P235"/>
  <c r="R235" s="1"/>
  <c r="K234"/>
  <c r="L234" s="1"/>
  <c r="O234" s="1"/>
  <c r="J234"/>
  <c r="P234"/>
  <c r="R234" s="1"/>
  <c r="R233"/>
  <c r="J233"/>
  <c r="P233"/>
  <c r="J232"/>
  <c r="P232"/>
  <c r="R232" s="1"/>
  <c r="K231"/>
  <c r="L231" s="1"/>
  <c r="O231" s="1"/>
  <c r="J231"/>
  <c r="P231"/>
  <c r="R231" s="1"/>
  <c r="K230"/>
  <c r="L230" s="1"/>
  <c r="O230" s="1"/>
  <c r="J230"/>
  <c r="P230"/>
  <c r="R230" s="1"/>
  <c r="J229"/>
  <c r="P229"/>
  <c r="R229" s="1"/>
  <c r="J228"/>
  <c r="P228"/>
  <c r="R228" s="1"/>
  <c r="L227"/>
  <c r="O227" s="1"/>
  <c r="K227"/>
  <c r="J227"/>
  <c r="P227"/>
  <c r="R227" s="1"/>
  <c r="K226"/>
  <c r="L226" s="1"/>
  <c r="O226" s="1"/>
  <c r="J226"/>
  <c r="P226"/>
  <c r="R226" s="1"/>
  <c r="R225"/>
  <c r="J225"/>
  <c r="P225"/>
  <c r="R224"/>
  <c r="P224"/>
  <c r="K224"/>
  <c r="L224" s="1"/>
  <c r="O224" s="1"/>
  <c r="S224" s="1"/>
  <c r="J223"/>
  <c r="K223"/>
  <c r="L223" s="1"/>
  <c r="O223" s="1"/>
  <c r="K222"/>
  <c r="L222" s="1"/>
  <c r="O222" s="1"/>
  <c r="J222"/>
  <c r="P222"/>
  <c r="R222" s="1"/>
  <c r="J221"/>
  <c r="K221"/>
  <c r="L221" s="1"/>
  <c r="O221" s="1"/>
  <c r="O220"/>
  <c r="K220"/>
  <c r="L220" s="1"/>
  <c r="J220"/>
  <c r="P220"/>
  <c r="R220" s="1"/>
  <c r="J219"/>
  <c r="K219"/>
  <c r="L219" s="1"/>
  <c r="O219" s="1"/>
  <c r="K218"/>
  <c r="L218" s="1"/>
  <c r="O218" s="1"/>
  <c r="J218"/>
  <c r="P218"/>
  <c r="R218" s="1"/>
  <c r="J217"/>
  <c r="K217"/>
  <c r="L217" s="1"/>
  <c r="O217" s="1"/>
  <c r="G217"/>
  <c r="J216"/>
  <c r="G216"/>
  <c r="J215"/>
  <c r="P215"/>
  <c r="R215" s="1"/>
  <c r="G214"/>
  <c r="J213"/>
  <c r="C189"/>
  <c r="V398" i="10"/>
  <c r="V397"/>
  <c r="I355"/>
  <c r="P355" s="1"/>
  <c r="R355" s="1"/>
  <c r="I357"/>
  <c r="P357" s="1"/>
  <c r="R357" s="1"/>
  <c r="I362"/>
  <c r="P362" s="1"/>
  <c r="R362" s="1"/>
  <c r="G354"/>
  <c r="I354" s="1"/>
  <c r="G351"/>
  <c r="I351" s="1"/>
  <c r="C425" i="11"/>
  <c r="E419"/>
  <c r="E418" s="1"/>
  <c r="G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J381"/>
  <c r="J380" s="1"/>
  <c r="I381"/>
  <c r="I380" s="1"/>
  <c r="H381"/>
  <c r="H380" s="1"/>
  <c r="G381"/>
  <c r="G380" s="1"/>
  <c r="F381"/>
  <c r="F380" s="1"/>
  <c r="Q387" i="10"/>
  <c r="N387"/>
  <c r="M387"/>
  <c r="H387"/>
  <c r="F387"/>
  <c r="E387"/>
  <c r="O386"/>
  <c r="P386" s="1"/>
  <c r="R386" s="1"/>
  <c r="S386" s="1"/>
  <c r="P385"/>
  <c r="R385" s="1"/>
  <c r="K385"/>
  <c r="L385" s="1"/>
  <c r="O385" s="1"/>
  <c r="P384"/>
  <c r="R384" s="1"/>
  <c r="K384"/>
  <c r="L384" s="1"/>
  <c r="O384" s="1"/>
  <c r="P383"/>
  <c r="R383" s="1"/>
  <c r="J383"/>
  <c r="K383" s="1"/>
  <c r="L383" s="1"/>
  <c r="O383" s="1"/>
  <c r="J382"/>
  <c r="I382"/>
  <c r="P382" s="1"/>
  <c r="R382" s="1"/>
  <c r="J381"/>
  <c r="I381"/>
  <c r="J380"/>
  <c r="J379"/>
  <c r="I379"/>
  <c r="J378"/>
  <c r="P377"/>
  <c r="R377" s="1"/>
  <c r="K377"/>
  <c r="L377" s="1"/>
  <c r="O377" s="1"/>
  <c r="J376"/>
  <c r="I376"/>
  <c r="P376" s="1"/>
  <c r="R376" s="1"/>
  <c r="J375"/>
  <c r="I375"/>
  <c r="P375" s="1"/>
  <c r="R375" s="1"/>
  <c r="J374"/>
  <c r="J373"/>
  <c r="J372"/>
  <c r="I372"/>
  <c r="P372" s="1"/>
  <c r="R372" s="1"/>
  <c r="J371"/>
  <c r="J370"/>
  <c r="I370"/>
  <c r="P370" s="1"/>
  <c r="R370" s="1"/>
  <c r="J369"/>
  <c r="I369"/>
  <c r="P369" s="1"/>
  <c r="R369" s="1"/>
  <c r="J368"/>
  <c r="I368"/>
  <c r="P368" s="1"/>
  <c r="R368" s="1"/>
  <c r="J367"/>
  <c r="J366"/>
  <c r="J365"/>
  <c r="J364"/>
  <c r="J363"/>
  <c r="J362"/>
  <c r="P361"/>
  <c r="R361" s="1"/>
  <c r="K361"/>
  <c r="L361" s="1"/>
  <c r="O361" s="1"/>
  <c r="J360"/>
  <c r="I360"/>
  <c r="J359"/>
  <c r="J358"/>
  <c r="J357"/>
  <c r="J356"/>
  <c r="I356"/>
  <c r="J355"/>
  <c r="G353"/>
  <c r="I353" s="1"/>
  <c r="J352"/>
  <c r="J350"/>
  <c r="I350"/>
  <c r="P350" s="1"/>
  <c r="V313"/>
  <c r="V314" s="1"/>
  <c r="V315" s="1"/>
  <c r="V316" s="1"/>
  <c r="E928" i="11" l="1"/>
  <c r="E927" s="1"/>
  <c r="S784" i="10"/>
  <c r="S764"/>
  <c r="S768"/>
  <c r="S772"/>
  <c r="S776"/>
  <c r="S785"/>
  <c r="L750"/>
  <c r="S756"/>
  <c r="S760"/>
  <c r="S765"/>
  <c r="S769"/>
  <c r="S773"/>
  <c r="S781"/>
  <c r="P750"/>
  <c r="I751"/>
  <c r="P751" s="1"/>
  <c r="R751" s="1"/>
  <c r="K753"/>
  <c r="L753" s="1"/>
  <c r="O753" s="1"/>
  <c r="S753" s="1"/>
  <c r="P754"/>
  <c r="R754" s="1"/>
  <c r="S754" s="1"/>
  <c r="P755"/>
  <c r="R755" s="1"/>
  <c r="S755" s="1"/>
  <c r="P756"/>
  <c r="R756" s="1"/>
  <c r="P757"/>
  <c r="R757" s="1"/>
  <c r="S757" s="1"/>
  <c r="P758"/>
  <c r="R758" s="1"/>
  <c r="S758" s="1"/>
  <c r="P759"/>
  <c r="R759" s="1"/>
  <c r="S759" s="1"/>
  <c r="P760"/>
  <c r="R760" s="1"/>
  <c r="P778"/>
  <c r="R778" s="1"/>
  <c r="S778" s="1"/>
  <c r="P779"/>
  <c r="R779" s="1"/>
  <c r="S779" s="1"/>
  <c r="P780"/>
  <c r="R780" s="1"/>
  <c r="S780" s="1"/>
  <c r="P781"/>
  <c r="R781" s="1"/>
  <c r="P782"/>
  <c r="R782" s="1"/>
  <c r="S782" s="1"/>
  <c r="G787"/>
  <c r="K751"/>
  <c r="L751" s="1"/>
  <c r="O751" s="1"/>
  <c r="J752"/>
  <c r="K752" s="1"/>
  <c r="L752" s="1"/>
  <c r="O752" s="1"/>
  <c r="S752" s="1"/>
  <c r="I787"/>
  <c r="J751"/>
  <c r="J787" s="1"/>
  <c r="G839" i="11"/>
  <c r="E875"/>
  <c r="E874" s="1"/>
  <c r="O699" i="10"/>
  <c r="S699" s="1"/>
  <c r="O716"/>
  <c r="O715"/>
  <c r="S715" s="1"/>
  <c r="E840" i="11"/>
  <c r="E839" s="1"/>
  <c r="S722" i="10"/>
  <c r="J769" i="11"/>
  <c r="E770"/>
  <c r="E769" s="1"/>
  <c r="G807"/>
  <c r="G769" s="1"/>
  <c r="G700"/>
  <c r="E701"/>
  <c r="S706" i="10"/>
  <c r="K367"/>
  <c r="L367" s="1"/>
  <c r="O367" s="1"/>
  <c r="K694"/>
  <c r="L694" s="1"/>
  <c r="O694" s="1"/>
  <c r="S701"/>
  <c r="S705"/>
  <c r="S709"/>
  <c r="S713"/>
  <c r="S721"/>
  <c r="K363"/>
  <c r="L363" s="1"/>
  <c r="O363" s="1"/>
  <c r="K630"/>
  <c r="L630" s="1"/>
  <c r="O630" s="1"/>
  <c r="K688"/>
  <c r="L688" s="1"/>
  <c r="J690"/>
  <c r="K690" s="1"/>
  <c r="L690" s="1"/>
  <c r="O690" s="1"/>
  <c r="P691"/>
  <c r="R691" s="1"/>
  <c r="K700"/>
  <c r="L700" s="1"/>
  <c r="O700" s="1"/>
  <c r="S700" s="1"/>
  <c r="P703"/>
  <c r="R703" s="1"/>
  <c r="S703" s="1"/>
  <c r="K704"/>
  <c r="L704" s="1"/>
  <c r="O704" s="1"/>
  <c r="S704" s="1"/>
  <c r="P707"/>
  <c r="R707" s="1"/>
  <c r="S707" s="1"/>
  <c r="K708"/>
  <c r="L708" s="1"/>
  <c r="O708" s="1"/>
  <c r="S708" s="1"/>
  <c r="P711"/>
  <c r="R711" s="1"/>
  <c r="S711" s="1"/>
  <c r="K712"/>
  <c r="L712" s="1"/>
  <c r="O712" s="1"/>
  <c r="S712" s="1"/>
  <c r="S714"/>
  <c r="K691"/>
  <c r="L691" s="1"/>
  <c r="O691" s="1"/>
  <c r="S702"/>
  <c r="S710"/>
  <c r="K696"/>
  <c r="L696" s="1"/>
  <c r="O696" s="1"/>
  <c r="O698"/>
  <c r="K717"/>
  <c r="L717" s="1"/>
  <c r="O717" s="1"/>
  <c r="K719"/>
  <c r="L719" s="1"/>
  <c r="O719" s="1"/>
  <c r="K359"/>
  <c r="L359" s="1"/>
  <c r="O359" s="1"/>
  <c r="K636"/>
  <c r="L636" s="1"/>
  <c r="O636" s="1"/>
  <c r="S485" i="12"/>
  <c r="S468"/>
  <c r="S481"/>
  <c r="S493"/>
  <c r="S498"/>
  <c r="S627"/>
  <c r="S622"/>
  <c r="S606"/>
  <c r="S472"/>
  <c r="S489"/>
  <c r="S476"/>
  <c r="S494"/>
  <c r="S536"/>
  <c r="P531"/>
  <c r="P538"/>
  <c r="R538" s="1"/>
  <c r="K538"/>
  <c r="L538" s="1"/>
  <c r="O538" s="1"/>
  <c r="K469"/>
  <c r="K534"/>
  <c r="L534" s="1"/>
  <c r="O534" s="1"/>
  <c r="S534" s="1"/>
  <c r="P539"/>
  <c r="R539" s="1"/>
  <c r="K539"/>
  <c r="L539" s="1"/>
  <c r="O539" s="1"/>
  <c r="O595"/>
  <c r="P540"/>
  <c r="R540" s="1"/>
  <c r="K540"/>
  <c r="L540" s="1"/>
  <c r="O540" s="1"/>
  <c r="G568"/>
  <c r="P532"/>
  <c r="R532" s="1"/>
  <c r="P541"/>
  <c r="R541" s="1"/>
  <c r="K541"/>
  <c r="L541" s="1"/>
  <c r="O541" s="1"/>
  <c r="S467"/>
  <c r="S471"/>
  <c r="S475"/>
  <c r="S480"/>
  <c r="S484"/>
  <c r="S488"/>
  <c r="S492"/>
  <c r="S497"/>
  <c r="S535"/>
  <c r="I503"/>
  <c r="S566"/>
  <c r="S630"/>
  <c r="K474"/>
  <c r="L474" s="1"/>
  <c r="O474" s="1"/>
  <c r="S474" s="1"/>
  <c r="K479"/>
  <c r="L479" s="1"/>
  <c r="O479" s="1"/>
  <c r="S479" s="1"/>
  <c r="K483"/>
  <c r="L483" s="1"/>
  <c r="O483" s="1"/>
  <c r="S483" s="1"/>
  <c r="K487"/>
  <c r="L487" s="1"/>
  <c r="O487" s="1"/>
  <c r="S487" s="1"/>
  <c r="K491"/>
  <c r="L491" s="1"/>
  <c r="O491" s="1"/>
  <c r="S491" s="1"/>
  <c r="K496"/>
  <c r="L496" s="1"/>
  <c r="O496" s="1"/>
  <c r="S496" s="1"/>
  <c r="K531"/>
  <c r="P533"/>
  <c r="R533" s="1"/>
  <c r="P534"/>
  <c r="R534" s="1"/>
  <c r="S600"/>
  <c r="S604"/>
  <c r="S625"/>
  <c r="L466"/>
  <c r="K473"/>
  <c r="L473" s="1"/>
  <c r="O473" s="1"/>
  <c r="S473" s="1"/>
  <c r="K478"/>
  <c r="L478" s="1"/>
  <c r="O478" s="1"/>
  <c r="S478" s="1"/>
  <c r="K482"/>
  <c r="L482" s="1"/>
  <c r="O482" s="1"/>
  <c r="S482" s="1"/>
  <c r="K486"/>
  <c r="L486" s="1"/>
  <c r="O486" s="1"/>
  <c r="S486" s="1"/>
  <c r="K490"/>
  <c r="L490" s="1"/>
  <c r="O490" s="1"/>
  <c r="S490" s="1"/>
  <c r="K495"/>
  <c r="L495" s="1"/>
  <c r="O495" s="1"/>
  <c r="S495" s="1"/>
  <c r="J503"/>
  <c r="K537"/>
  <c r="L537" s="1"/>
  <c r="O537" s="1"/>
  <c r="S537" s="1"/>
  <c r="S543"/>
  <c r="S544"/>
  <c r="S545"/>
  <c r="S546"/>
  <c r="S547"/>
  <c r="S548"/>
  <c r="S549"/>
  <c r="S550"/>
  <c r="S551"/>
  <c r="S552"/>
  <c r="S553"/>
  <c r="S554"/>
  <c r="S555"/>
  <c r="S564"/>
  <c r="I632"/>
  <c r="S601"/>
  <c r="S605"/>
  <c r="S626"/>
  <c r="S628"/>
  <c r="J470"/>
  <c r="K470" s="1"/>
  <c r="L470" s="1"/>
  <c r="O470" s="1"/>
  <c r="S470" s="1"/>
  <c r="J533"/>
  <c r="K533" s="1"/>
  <c r="L533" s="1"/>
  <c r="O533" s="1"/>
  <c r="P595"/>
  <c r="P596"/>
  <c r="R596" s="1"/>
  <c r="J599"/>
  <c r="K599" s="1"/>
  <c r="L599" s="1"/>
  <c r="O599" s="1"/>
  <c r="S599" s="1"/>
  <c r="G632"/>
  <c r="K559"/>
  <c r="L559" s="1"/>
  <c r="O559" s="1"/>
  <c r="S559" s="1"/>
  <c r="K560"/>
  <c r="L560" s="1"/>
  <c r="O560" s="1"/>
  <c r="S560" s="1"/>
  <c r="K561"/>
  <c r="L561" s="1"/>
  <c r="O561" s="1"/>
  <c r="S561" s="1"/>
  <c r="K562"/>
  <c r="L562" s="1"/>
  <c r="O562" s="1"/>
  <c r="S562" s="1"/>
  <c r="K563"/>
  <c r="L563" s="1"/>
  <c r="O563" s="1"/>
  <c r="S563" s="1"/>
  <c r="K597"/>
  <c r="L597" s="1"/>
  <c r="O597" s="1"/>
  <c r="S597" s="1"/>
  <c r="J598"/>
  <c r="K598" s="1"/>
  <c r="L598" s="1"/>
  <c r="O598" s="1"/>
  <c r="S598" s="1"/>
  <c r="P598"/>
  <c r="R598" s="1"/>
  <c r="K607"/>
  <c r="L607" s="1"/>
  <c r="O607" s="1"/>
  <c r="S607" s="1"/>
  <c r="K608"/>
  <c r="L608" s="1"/>
  <c r="O608" s="1"/>
  <c r="S608" s="1"/>
  <c r="K609"/>
  <c r="L609" s="1"/>
  <c r="O609" s="1"/>
  <c r="S609" s="1"/>
  <c r="K610"/>
  <c r="L610" s="1"/>
  <c r="O610" s="1"/>
  <c r="S610" s="1"/>
  <c r="K611"/>
  <c r="L611" s="1"/>
  <c r="O611" s="1"/>
  <c r="S611" s="1"/>
  <c r="K612"/>
  <c r="L612" s="1"/>
  <c r="O612" s="1"/>
  <c r="S612" s="1"/>
  <c r="K613"/>
  <c r="L613" s="1"/>
  <c r="O613" s="1"/>
  <c r="S613" s="1"/>
  <c r="K614"/>
  <c r="L614" s="1"/>
  <c r="O614" s="1"/>
  <c r="S614" s="1"/>
  <c r="K615"/>
  <c r="L615" s="1"/>
  <c r="O615" s="1"/>
  <c r="S615" s="1"/>
  <c r="K616"/>
  <c r="L616" s="1"/>
  <c r="O616" s="1"/>
  <c r="S616" s="1"/>
  <c r="K617"/>
  <c r="L617" s="1"/>
  <c r="O617" s="1"/>
  <c r="S617" s="1"/>
  <c r="K618"/>
  <c r="L618" s="1"/>
  <c r="O618" s="1"/>
  <c r="S618" s="1"/>
  <c r="K619"/>
  <c r="L619" s="1"/>
  <c r="O619" s="1"/>
  <c r="S619" s="1"/>
  <c r="K620"/>
  <c r="L620" s="1"/>
  <c r="O620" s="1"/>
  <c r="S620" s="1"/>
  <c r="K621"/>
  <c r="L621" s="1"/>
  <c r="O621" s="1"/>
  <c r="S621" s="1"/>
  <c r="E739" i="11"/>
  <c r="E738" s="1"/>
  <c r="S724" i="10"/>
  <c r="K692"/>
  <c r="L692" s="1"/>
  <c r="O692" s="1"/>
  <c r="S692" s="1"/>
  <c r="S723"/>
  <c r="P690"/>
  <c r="R690" s="1"/>
  <c r="P688"/>
  <c r="J692"/>
  <c r="P692"/>
  <c r="R692" s="1"/>
  <c r="P693"/>
  <c r="R693" s="1"/>
  <c r="S693" s="1"/>
  <c r="P694"/>
  <c r="R694" s="1"/>
  <c r="P695"/>
  <c r="R695" s="1"/>
  <c r="S695" s="1"/>
  <c r="P696"/>
  <c r="R696" s="1"/>
  <c r="S696" s="1"/>
  <c r="P697"/>
  <c r="R697" s="1"/>
  <c r="S697" s="1"/>
  <c r="P698"/>
  <c r="R698" s="1"/>
  <c r="S698" s="1"/>
  <c r="R716"/>
  <c r="P717"/>
  <c r="R717" s="1"/>
  <c r="P718"/>
  <c r="R718" s="1"/>
  <c r="S718" s="1"/>
  <c r="P719"/>
  <c r="R719" s="1"/>
  <c r="S719" s="1"/>
  <c r="P720"/>
  <c r="R720" s="1"/>
  <c r="S720" s="1"/>
  <c r="G725"/>
  <c r="J689"/>
  <c r="J725" s="1"/>
  <c r="K626"/>
  <c r="L626" s="1"/>
  <c r="O626" s="1"/>
  <c r="K358"/>
  <c r="L358" s="1"/>
  <c r="O358" s="1"/>
  <c r="S358" s="1"/>
  <c r="K434"/>
  <c r="L434" s="1"/>
  <c r="O434" s="1"/>
  <c r="K436"/>
  <c r="L436" s="1"/>
  <c r="O436" s="1"/>
  <c r="S436" s="1"/>
  <c r="K561"/>
  <c r="L561" s="1"/>
  <c r="O561" s="1"/>
  <c r="S561" s="1"/>
  <c r="K634"/>
  <c r="L634" s="1"/>
  <c r="O634" s="1"/>
  <c r="K646"/>
  <c r="L646" s="1"/>
  <c r="O646" s="1"/>
  <c r="K628"/>
  <c r="L628" s="1"/>
  <c r="O628" s="1"/>
  <c r="K564"/>
  <c r="L564" s="1"/>
  <c r="O564" s="1"/>
  <c r="S564" s="1"/>
  <c r="K647"/>
  <c r="L647" s="1"/>
  <c r="O647" s="1"/>
  <c r="K360"/>
  <c r="L360" s="1"/>
  <c r="O360" s="1"/>
  <c r="K371"/>
  <c r="L371" s="1"/>
  <c r="O371" s="1"/>
  <c r="S371" s="1"/>
  <c r="K379"/>
  <c r="L379" s="1"/>
  <c r="O379" s="1"/>
  <c r="K352"/>
  <c r="L352" s="1"/>
  <c r="O352" s="1"/>
  <c r="S352" s="1"/>
  <c r="K445"/>
  <c r="L445" s="1"/>
  <c r="O445" s="1"/>
  <c r="S445" s="1"/>
  <c r="K447"/>
  <c r="L447" s="1"/>
  <c r="O447" s="1"/>
  <c r="S447" s="1"/>
  <c r="K500"/>
  <c r="L500" s="1"/>
  <c r="O500" s="1"/>
  <c r="I624"/>
  <c r="P624" s="1"/>
  <c r="R624" s="1"/>
  <c r="K642"/>
  <c r="L642" s="1"/>
  <c r="O642" s="1"/>
  <c r="S642" s="1"/>
  <c r="S443"/>
  <c r="K498"/>
  <c r="L498" s="1"/>
  <c r="O498" s="1"/>
  <c r="S498" s="1"/>
  <c r="K499"/>
  <c r="L499" s="1"/>
  <c r="O499" s="1"/>
  <c r="S499" s="1"/>
  <c r="K635"/>
  <c r="L635" s="1"/>
  <c r="O635" s="1"/>
  <c r="S635" s="1"/>
  <c r="K645"/>
  <c r="L645" s="1"/>
  <c r="O645" s="1"/>
  <c r="S645" s="1"/>
  <c r="K373"/>
  <c r="L373" s="1"/>
  <c r="O373" s="1"/>
  <c r="S373" s="1"/>
  <c r="K380"/>
  <c r="L380" s="1"/>
  <c r="O380" s="1"/>
  <c r="K416"/>
  <c r="L416" s="1"/>
  <c r="O416" s="1"/>
  <c r="K423"/>
  <c r="L423" s="1"/>
  <c r="O423" s="1"/>
  <c r="S423" s="1"/>
  <c r="K438"/>
  <c r="L438" s="1"/>
  <c r="O438" s="1"/>
  <c r="K440"/>
  <c r="L440" s="1"/>
  <c r="O440" s="1"/>
  <c r="S440" s="1"/>
  <c r="K495"/>
  <c r="L495" s="1"/>
  <c r="O495" s="1"/>
  <c r="K506"/>
  <c r="L506" s="1"/>
  <c r="O506" s="1"/>
  <c r="S506" s="1"/>
  <c r="K507"/>
  <c r="L507" s="1"/>
  <c r="O507" s="1"/>
  <c r="S507" s="1"/>
  <c r="K621"/>
  <c r="L621" s="1"/>
  <c r="O621" s="1"/>
  <c r="K428"/>
  <c r="L428" s="1"/>
  <c r="O428" s="1"/>
  <c r="S428" s="1"/>
  <c r="S648"/>
  <c r="K365"/>
  <c r="L365" s="1"/>
  <c r="O365" s="1"/>
  <c r="S365" s="1"/>
  <c r="K425"/>
  <c r="L425" s="1"/>
  <c r="O425" s="1"/>
  <c r="S425" s="1"/>
  <c r="I489"/>
  <c r="P489" s="1"/>
  <c r="R489" s="1"/>
  <c r="K496"/>
  <c r="L496" s="1"/>
  <c r="O496" s="1"/>
  <c r="K508"/>
  <c r="L508" s="1"/>
  <c r="O508" s="1"/>
  <c r="K633"/>
  <c r="L633" s="1"/>
  <c r="O633" s="1"/>
  <c r="K637"/>
  <c r="L637" s="1"/>
  <c r="O637" s="1"/>
  <c r="K640"/>
  <c r="L640" s="1"/>
  <c r="O640" s="1"/>
  <c r="K649"/>
  <c r="L649" s="1"/>
  <c r="O649" s="1"/>
  <c r="K651"/>
  <c r="L651" s="1"/>
  <c r="O651" s="1"/>
  <c r="K653"/>
  <c r="L653" s="1"/>
  <c r="O653" s="1"/>
  <c r="S655"/>
  <c r="E596" i="11"/>
  <c r="E595" s="1"/>
  <c r="S633" i="10"/>
  <c r="S632"/>
  <c r="S639"/>
  <c r="K362"/>
  <c r="L362" s="1"/>
  <c r="O362" s="1"/>
  <c r="S362" s="1"/>
  <c r="K381"/>
  <c r="L381" s="1"/>
  <c r="O381" s="1"/>
  <c r="K418"/>
  <c r="L418" s="1"/>
  <c r="O418" s="1"/>
  <c r="K492"/>
  <c r="L492" s="1"/>
  <c r="O492" s="1"/>
  <c r="K514"/>
  <c r="L514" s="1"/>
  <c r="O514" s="1"/>
  <c r="K563"/>
  <c r="L563" s="1"/>
  <c r="O563" s="1"/>
  <c r="K585"/>
  <c r="L585" s="1"/>
  <c r="O585" s="1"/>
  <c r="P634"/>
  <c r="R634" s="1"/>
  <c r="P644"/>
  <c r="R644" s="1"/>
  <c r="S644" s="1"/>
  <c r="K421"/>
  <c r="L421" s="1"/>
  <c r="O421" s="1"/>
  <c r="S421" s="1"/>
  <c r="G523"/>
  <c r="P500"/>
  <c r="R500" s="1"/>
  <c r="K502"/>
  <c r="L502" s="1"/>
  <c r="O502" s="1"/>
  <c r="S502" s="1"/>
  <c r="K503"/>
  <c r="L503" s="1"/>
  <c r="O503" s="1"/>
  <c r="S503" s="1"/>
  <c r="P508"/>
  <c r="R508" s="1"/>
  <c r="K510"/>
  <c r="L510" s="1"/>
  <c r="O510" s="1"/>
  <c r="S510" s="1"/>
  <c r="K511"/>
  <c r="L511" s="1"/>
  <c r="O511" s="1"/>
  <c r="S511" s="1"/>
  <c r="K565"/>
  <c r="L565" s="1"/>
  <c r="O565" s="1"/>
  <c r="S565" s="1"/>
  <c r="J622"/>
  <c r="K622" s="1"/>
  <c r="L622" s="1"/>
  <c r="O622" s="1"/>
  <c r="K627"/>
  <c r="L627" s="1"/>
  <c r="O627" s="1"/>
  <c r="K629"/>
  <c r="L629" s="1"/>
  <c r="O629" s="1"/>
  <c r="K631"/>
  <c r="L631" s="1"/>
  <c r="O631" s="1"/>
  <c r="P633"/>
  <c r="R633" s="1"/>
  <c r="P637"/>
  <c r="R637" s="1"/>
  <c r="P640"/>
  <c r="R640" s="1"/>
  <c r="K641"/>
  <c r="L641" s="1"/>
  <c r="O641" s="1"/>
  <c r="S641" s="1"/>
  <c r="K643"/>
  <c r="L643" s="1"/>
  <c r="O643" s="1"/>
  <c r="K650"/>
  <c r="L650" s="1"/>
  <c r="O650" s="1"/>
  <c r="K652"/>
  <c r="L652" s="1"/>
  <c r="O652" s="1"/>
  <c r="S449"/>
  <c r="P622"/>
  <c r="R622" s="1"/>
  <c r="S636"/>
  <c r="S647"/>
  <c r="K356"/>
  <c r="L356" s="1"/>
  <c r="O356" s="1"/>
  <c r="S361"/>
  <c r="V399"/>
  <c r="K430"/>
  <c r="L430" s="1"/>
  <c r="O430" s="1"/>
  <c r="K432"/>
  <c r="L432" s="1"/>
  <c r="O432" s="1"/>
  <c r="K442"/>
  <c r="L442" s="1"/>
  <c r="O442" s="1"/>
  <c r="K512"/>
  <c r="L512" s="1"/>
  <c r="O512" s="1"/>
  <c r="K587"/>
  <c r="L587" s="1"/>
  <c r="O587" s="1"/>
  <c r="P356"/>
  <c r="R356" s="1"/>
  <c r="P381"/>
  <c r="R381" s="1"/>
  <c r="S385"/>
  <c r="G387"/>
  <c r="P432"/>
  <c r="R432" s="1"/>
  <c r="S451"/>
  <c r="K486"/>
  <c r="L486" s="1"/>
  <c r="O486" s="1"/>
  <c r="K488"/>
  <c r="L488" s="1"/>
  <c r="O488" s="1"/>
  <c r="S488" s="1"/>
  <c r="P512"/>
  <c r="R512" s="1"/>
  <c r="J560"/>
  <c r="K560" s="1"/>
  <c r="L560" s="1"/>
  <c r="O560" s="1"/>
  <c r="P563"/>
  <c r="R563" s="1"/>
  <c r="P587"/>
  <c r="R587" s="1"/>
  <c r="P657"/>
  <c r="R657" s="1"/>
  <c r="S657" s="1"/>
  <c r="P623"/>
  <c r="R623" s="1"/>
  <c r="G658"/>
  <c r="J623"/>
  <c r="K623" s="1"/>
  <c r="L623" s="1"/>
  <c r="O623" s="1"/>
  <c r="S646"/>
  <c r="P643"/>
  <c r="R643" s="1"/>
  <c r="K638"/>
  <c r="L638" s="1"/>
  <c r="O638" s="1"/>
  <c r="S638" s="1"/>
  <c r="I658"/>
  <c r="S654"/>
  <c r="S656"/>
  <c r="J625"/>
  <c r="P625"/>
  <c r="R625" s="1"/>
  <c r="P626"/>
  <c r="R626" s="1"/>
  <c r="P627"/>
  <c r="R627" s="1"/>
  <c r="P628"/>
  <c r="R628" s="1"/>
  <c r="S628" s="1"/>
  <c r="P629"/>
  <c r="R629" s="1"/>
  <c r="P630"/>
  <c r="R630" s="1"/>
  <c r="S630" s="1"/>
  <c r="P631"/>
  <c r="R631" s="1"/>
  <c r="S631" s="1"/>
  <c r="P649"/>
  <c r="R649" s="1"/>
  <c r="P650"/>
  <c r="R650" s="1"/>
  <c r="P651"/>
  <c r="R651" s="1"/>
  <c r="P652"/>
  <c r="R652" s="1"/>
  <c r="P653"/>
  <c r="R653" s="1"/>
  <c r="S591"/>
  <c r="M513"/>
  <c r="M523" s="1"/>
  <c r="S589"/>
  <c r="P360"/>
  <c r="R360" s="1"/>
  <c r="P379"/>
  <c r="R379" s="1"/>
  <c r="J417"/>
  <c r="K417" s="1"/>
  <c r="L417" s="1"/>
  <c r="O417" s="1"/>
  <c r="P418"/>
  <c r="R418" s="1"/>
  <c r="K422"/>
  <c r="L422" s="1"/>
  <c r="O422" s="1"/>
  <c r="S422" s="1"/>
  <c r="K424"/>
  <c r="L424" s="1"/>
  <c r="O424" s="1"/>
  <c r="S424" s="1"/>
  <c r="K426"/>
  <c r="L426" s="1"/>
  <c r="O426" s="1"/>
  <c r="S426" s="1"/>
  <c r="P430"/>
  <c r="R430" s="1"/>
  <c r="P434"/>
  <c r="R434" s="1"/>
  <c r="S434" s="1"/>
  <c r="P438"/>
  <c r="R438" s="1"/>
  <c r="P442"/>
  <c r="R442" s="1"/>
  <c r="S442" s="1"/>
  <c r="J487"/>
  <c r="K501"/>
  <c r="L501" s="1"/>
  <c r="O501" s="1"/>
  <c r="S501" s="1"/>
  <c r="K505"/>
  <c r="L505" s="1"/>
  <c r="O505" s="1"/>
  <c r="S505" s="1"/>
  <c r="K509"/>
  <c r="L509" s="1"/>
  <c r="O509" s="1"/>
  <c r="S509" s="1"/>
  <c r="K562"/>
  <c r="L562" s="1"/>
  <c r="O562" s="1"/>
  <c r="S562" s="1"/>
  <c r="K566"/>
  <c r="L566" s="1"/>
  <c r="O566" s="1"/>
  <c r="S566" s="1"/>
  <c r="P585"/>
  <c r="R585" s="1"/>
  <c r="K364"/>
  <c r="L364" s="1"/>
  <c r="O364" s="1"/>
  <c r="S364" s="1"/>
  <c r="K366"/>
  <c r="L366" s="1"/>
  <c r="O366" s="1"/>
  <c r="S366" s="1"/>
  <c r="K368"/>
  <c r="L368" s="1"/>
  <c r="O368" s="1"/>
  <c r="S368" s="1"/>
  <c r="K369"/>
  <c r="L369" s="1"/>
  <c r="O369" s="1"/>
  <c r="S369" s="1"/>
  <c r="K370"/>
  <c r="L370" s="1"/>
  <c r="O370" s="1"/>
  <c r="S370" s="1"/>
  <c r="K372"/>
  <c r="L372" s="1"/>
  <c r="O372" s="1"/>
  <c r="S372" s="1"/>
  <c r="K374"/>
  <c r="L374" s="1"/>
  <c r="O374" s="1"/>
  <c r="S374" s="1"/>
  <c r="K375"/>
  <c r="L375" s="1"/>
  <c r="O375" s="1"/>
  <c r="S375" s="1"/>
  <c r="K376"/>
  <c r="L376" s="1"/>
  <c r="O376" s="1"/>
  <c r="S376" s="1"/>
  <c r="K378"/>
  <c r="L378" s="1"/>
  <c r="O378" s="1"/>
  <c r="S378" s="1"/>
  <c r="P380"/>
  <c r="R380" s="1"/>
  <c r="K382"/>
  <c r="L382" s="1"/>
  <c r="O382" s="1"/>
  <c r="S382" s="1"/>
  <c r="K429"/>
  <c r="L429" s="1"/>
  <c r="O429" s="1"/>
  <c r="S429" s="1"/>
  <c r="K433"/>
  <c r="L433" s="1"/>
  <c r="O433" s="1"/>
  <c r="S433" s="1"/>
  <c r="K437"/>
  <c r="L437" s="1"/>
  <c r="O437" s="1"/>
  <c r="S437" s="1"/>
  <c r="K441"/>
  <c r="L441" s="1"/>
  <c r="O441" s="1"/>
  <c r="S441" s="1"/>
  <c r="K444"/>
  <c r="L444" s="1"/>
  <c r="O444" s="1"/>
  <c r="S444" s="1"/>
  <c r="K446"/>
  <c r="L446" s="1"/>
  <c r="O446" s="1"/>
  <c r="S446" s="1"/>
  <c r="K448"/>
  <c r="L448" s="1"/>
  <c r="O448" s="1"/>
  <c r="S448" s="1"/>
  <c r="I487"/>
  <c r="K516"/>
  <c r="L516" s="1"/>
  <c r="O516" s="1"/>
  <c r="K518"/>
  <c r="L518" s="1"/>
  <c r="O518" s="1"/>
  <c r="K494"/>
  <c r="L494" s="1"/>
  <c r="O494" s="1"/>
  <c r="K556"/>
  <c r="L556" s="1"/>
  <c r="K584"/>
  <c r="L584" s="1"/>
  <c r="O584" s="1"/>
  <c r="K588"/>
  <c r="L588" s="1"/>
  <c r="O588" s="1"/>
  <c r="K493"/>
  <c r="L493" s="1"/>
  <c r="O493" s="1"/>
  <c r="K515"/>
  <c r="L515" s="1"/>
  <c r="O515" s="1"/>
  <c r="P557"/>
  <c r="R557" s="1"/>
  <c r="J353"/>
  <c r="K353" s="1"/>
  <c r="L353" s="1"/>
  <c r="O353" s="1"/>
  <c r="P417"/>
  <c r="R417" s="1"/>
  <c r="P419"/>
  <c r="R419" s="1"/>
  <c r="K431"/>
  <c r="L431" s="1"/>
  <c r="O431" s="1"/>
  <c r="S431" s="1"/>
  <c r="K435"/>
  <c r="L435" s="1"/>
  <c r="O435" s="1"/>
  <c r="S435" s="1"/>
  <c r="K439"/>
  <c r="L439" s="1"/>
  <c r="O439" s="1"/>
  <c r="S439" s="1"/>
  <c r="S450"/>
  <c r="K517"/>
  <c r="L517" s="1"/>
  <c r="O517" s="1"/>
  <c r="K491"/>
  <c r="L491" s="1"/>
  <c r="O491" s="1"/>
  <c r="P556"/>
  <c r="R556" s="1"/>
  <c r="P584"/>
  <c r="R584" s="1"/>
  <c r="K586"/>
  <c r="L586" s="1"/>
  <c r="O586" s="1"/>
  <c r="S586" s="1"/>
  <c r="P588"/>
  <c r="R588" s="1"/>
  <c r="G451" i="11"/>
  <c r="E524"/>
  <c r="E523" s="1"/>
  <c r="M593" i="10"/>
  <c r="O583"/>
  <c r="S583" s="1"/>
  <c r="S567"/>
  <c r="S590"/>
  <c r="P560"/>
  <c r="R560" s="1"/>
  <c r="G593"/>
  <c r="K558"/>
  <c r="L558" s="1"/>
  <c r="O558" s="1"/>
  <c r="S558" s="1"/>
  <c r="J559"/>
  <c r="K559" s="1"/>
  <c r="L559" s="1"/>
  <c r="O559" s="1"/>
  <c r="P559"/>
  <c r="R559" s="1"/>
  <c r="K568"/>
  <c r="L568" s="1"/>
  <c r="O568" s="1"/>
  <c r="S568" s="1"/>
  <c r="K569"/>
  <c r="L569" s="1"/>
  <c r="O569" s="1"/>
  <c r="S569" s="1"/>
  <c r="K570"/>
  <c r="L570" s="1"/>
  <c r="O570" s="1"/>
  <c r="S570" s="1"/>
  <c r="K571"/>
  <c r="L571" s="1"/>
  <c r="O571" s="1"/>
  <c r="S571" s="1"/>
  <c r="K572"/>
  <c r="L572" s="1"/>
  <c r="O572" s="1"/>
  <c r="S572" s="1"/>
  <c r="K573"/>
  <c r="L573" s="1"/>
  <c r="O573" s="1"/>
  <c r="S573" s="1"/>
  <c r="K574"/>
  <c r="L574" s="1"/>
  <c r="O574" s="1"/>
  <c r="S574" s="1"/>
  <c r="K575"/>
  <c r="L575" s="1"/>
  <c r="O575" s="1"/>
  <c r="S575" s="1"/>
  <c r="K576"/>
  <c r="L576" s="1"/>
  <c r="O576" s="1"/>
  <c r="S576" s="1"/>
  <c r="K577"/>
  <c r="L577" s="1"/>
  <c r="O577" s="1"/>
  <c r="S577" s="1"/>
  <c r="K578"/>
  <c r="L578" s="1"/>
  <c r="O578" s="1"/>
  <c r="S578" s="1"/>
  <c r="K579"/>
  <c r="L579" s="1"/>
  <c r="O579" s="1"/>
  <c r="S579" s="1"/>
  <c r="K580"/>
  <c r="L580" s="1"/>
  <c r="O580" s="1"/>
  <c r="S580" s="1"/>
  <c r="K581"/>
  <c r="L581" s="1"/>
  <c r="O581" s="1"/>
  <c r="S581" s="1"/>
  <c r="K582"/>
  <c r="L582" s="1"/>
  <c r="O582" s="1"/>
  <c r="S582" s="1"/>
  <c r="I593"/>
  <c r="J557"/>
  <c r="S519"/>
  <c r="S521"/>
  <c r="S497"/>
  <c r="S520"/>
  <c r="E452" i="11"/>
  <c r="E451" s="1"/>
  <c r="K504" i="10"/>
  <c r="L504" s="1"/>
  <c r="O504" s="1"/>
  <c r="S504" s="1"/>
  <c r="R513"/>
  <c r="S522"/>
  <c r="J490"/>
  <c r="K490" s="1"/>
  <c r="L490" s="1"/>
  <c r="O490" s="1"/>
  <c r="P490"/>
  <c r="R490" s="1"/>
  <c r="P491"/>
  <c r="R491" s="1"/>
  <c r="P492"/>
  <c r="R492" s="1"/>
  <c r="P493"/>
  <c r="R493" s="1"/>
  <c r="P494"/>
  <c r="R494" s="1"/>
  <c r="P495"/>
  <c r="R495" s="1"/>
  <c r="P496"/>
  <c r="R496" s="1"/>
  <c r="P514"/>
  <c r="R514" s="1"/>
  <c r="P515"/>
  <c r="R515" s="1"/>
  <c r="P516"/>
  <c r="R516" s="1"/>
  <c r="P517"/>
  <c r="R517" s="1"/>
  <c r="P518"/>
  <c r="R518" s="1"/>
  <c r="I453"/>
  <c r="S427"/>
  <c r="S452"/>
  <c r="J420"/>
  <c r="K420" s="1"/>
  <c r="P420"/>
  <c r="R420" s="1"/>
  <c r="G453"/>
  <c r="J419"/>
  <c r="P433" i="12"/>
  <c r="R433" s="1"/>
  <c r="O433"/>
  <c r="S406"/>
  <c r="R409"/>
  <c r="P443"/>
  <c r="S418"/>
  <c r="S426"/>
  <c r="S440"/>
  <c r="S411"/>
  <c r="S430"/>
  <c r="G443"/>
  <c r="J409"/>
  <c r="K409" s="1"/>
  <c r="J410"/>
  <c r="K410" s="1"/>
  <c r="L410" s="1"/>
  <c r="O410" s="1"/>
  <c r="S410" s="1"/>
  <c r="S360"/>
  <c r="S380"/>
  <c r="S358"/>
  <c r="S363"/>
  <c r="S364"/>
  <c r="S369"/>
  <c r="S359"/>
  <c r="S365"/>
  <c r="S370"/>
  <c r="S368"/>
  <c r="S286"/>
  <c r="S289"/>
  <c r="S310"/>
  <c r="S285"/>
  <c r="S306"/>
  <c r="S307"/>
  <c r="S311"/>
  <c r="S231"/>
  <c r="S235"/>
  <c r="S226"/>
  <c r="S234"/>
  <c r="S246"/>
  <c r="S230"/>
  <c r="S238"/>
  <c r="S227"/>
  <c r="M250"/>
  <c r="P240"/>
  <c r="R240" s="1"/>
  <c r="S219"/>
  <c r="K279"/>
  <c r="P280"/>
  <c r="R280" s="1"/>
  <c r="J280"/>
  <c r="P294"/>
  <c r="R294" s="1"/>
  <c r="K294"/>
  <c r="L294" s="1"/>
  <c r="O294" s="1"/>
  <c r="P298"/>
  <c r="R298" s="1"/>
  <c r="K298"/>
  <c r="L298" s="1"/>
  <c r="O298" s="1"/>
  <c r="P302"/>
  <c r="R302" s="1"/>
  <c r="K302"/>
  <c r="L302" s="1"/>
  <c r="O302" s="1"/>
  <c r="P347"/>
  <c r="R347" s="1"/>
  <c r="J347"/>
  <c r="J383" s="1"/>
  <c r="K213"/>
  <c r="I250"/>
  <c r="P293"/>
  <c r="R293" s="1"/>
  <c r="K293"/>
  <c r="L293" s="1"/>
  <c r="O293" s="1"/>
  <c r="S293" s="1"/>
  <c r="P297"/>
  <c r="R297" s="1"/>
  <c r="K297"/>
  <c r="L297" s="1"/>
  <c r="O297" s="1"/>
  <c r="P301"/>
  <c r="R301" s="1"/>
  <c r="K301"/>
  <c r="L301" s="1"/>
  <c r="O301" s="1"/>
  <c r="S301" s="1"/>
  <c r="P305"/>
  <c r="R305" s="1"/>
  <c r="K305"/>
  <c r="L305" s="1"/>
  <c r="O305" s="1"/>
  <c r="P346"/>
  <c r="I383"/>
  <c r="K346"/>
  <c r="J282"/>
  <c r="J316" s="1"/>
  <c r="P292"/>
  <c r="R292" s="1"/>
  <c r="K292"/>
  <c r="L292" s="1"/>
  <c r="O292" s="1"/>
  <c r="P296"/>
  <c r="R296" s="1"/>
  <c r="K296"/>
  <c r="L296" s="1"/>
  <c r="O296" s="1"/>
  <c r="P300"/>
  <c r="R300" s="1"/>
  <c r="K300"/>
  <c r="L300" s="1"/>
  <c r="O300" s="1"/>
  <c r="P304"/>
  <c r="R304" s="1"/>
  <c r="K304"/>
  <c r="L304" s="1"/>
  <c r="O304" s="1"/>
  <c r="P214"/>
  <c r="R214" s="1"/>
  <c r="J214"/>
  <c r="K214" s="1"/>
  <c r="L214" s="1"/>
  <c r="O214" s="1"/>
  <c r="P281"/>
  <c r="R281" s="1"/>
  <c r="K281"/>
  <c r="L281" s="1"/>
  <c r="O281" s="1"/>
  <c r="P291"/>
  <c r="R291" s="1"/>
  <c r="K291"/>
  <c r="L291" s="1"/>
  <c r="O291" s="1"/>
  <c r="P295"/>
  <c r="R295" s="1"/>
  <c r="K295"/>
  <c r="L295" s="1"/>
  <c r="O295" s="1"/>
  <c r="P299"/>
  <c r="R299" s="1"/>
  <c r="K299"/>
  <c r="L299" s="1"/>
  <c r="O299" s="1"/>
  <c r="P303"/>
  <c r="R303" s="1"/>
  <c r="K303"/>
  <c r="L303" s="1"/>
  <c r="O303" s="1"/>
  <c r="S218"/>
  <c r="S220"/>
  <c r="S222"/>
  <c r="P213"/>
  <c r="P216"/>
  <c r="R216" s="1"/>
  <c r="P217"/>
  <c r="R217" s="1"/>
  <c r="S217" s="1"/>
  <c r="P219"/>
  <c r="R219" s="1"/>
  <c r="P221"/>
  <c r="R221" s="1"/>
  <c r="S221" s="1"/>
  <c r="P223"/>
  <c r="R223" s="1"/>
  <c r="S223" s="1"/>
  <c r="K242"/>
  <c r="L242" s="1"/>
  <c r="O242" s="1"/>
  <c r="S242" s="1"/>
  <c r="P242"/>
  <c r="R242" s="1"/>
  <c r="K244"/>
  <c r="L244" s="1"/>
  <c r="O244" s="1"/>
  <c r="K245"/>
  <c r="L245" s="1"/>
  <c r="O245" s="1"/>
  <c r="S245" s="1"/>
  <c r="P279"/>
  <c r="S284"/>
  <c r="S288"/>
  <c r="S309"/>
  <c r="S349"/>
  <c r="K351"/>
  <c r="L351" s="1"/>
  <c r="O351" s="1"/>
  <c r="K352"/>
  <c r="L352" s="1"/>
  <c r="O352" s="1"/>
  <c r="K353"/>
  <c r="L353" s="1"/>
  <c r="O353" s="1"/>
  <c r="K354"/>
  <c r="L354" s="1"/>
  <c r="O354" s="1"/>
  <c r="K355"/>
  <c r="L355" s="1"/>
  <c r="O355" s="1"/>
  <c r="K356"/>
  <c r="L356" s="1"/>
  <c r="O356" s="1"/>
  <c r="S373"/>
  <c r="S381"/>
  <c r="G383"/>
  <c r="K215"/>
  <c r="L215" s="1"/>
  <c r="O215" s="1"/>
  <c r="S215" s="1"/>
  <c r="K228"/>
  <c r="L228" s="1"/>
  <c r="O228" s="1"/>
  <c r="S228" s="1"/>
  <c r="K232"/>
  <c r="L232" s="1"/>
  <c r="O232" s="1"/>
  <c r="S232" s="1"/>
  <c r="K236"/>
  <c r="L236" s="1"/>
  <c r="O236" s="1"/>
  <c r="S236" s="1"/>
  <c r="O240"/>
  <c r="P244"/>
  <c r="R244" s="1"/>
  <c r="P245"/>
  <c r="R245" s="1"/>
  <c r="S283"/>
  <c r="S287"/>
  <c r="S308"/>
  <c r="K350"/>
  <c r="L350" s="1"/>
  <c r="O350" s="1"/>
  <c r="S350" s="1"/>
  <c r="P351"/>
  <c r="R351" s="1"/>
  <c r="P352"/>
  <c r="R352" s="1"/>
  <c r="P353"/>
  <c r="R353" s="1"/>
  <c r="P354"/>
  <c r="R354" s="1"/>
  <c r="P355"/>
  <c r="R355" s="1"/>
  <c r="P356"/>
  <c r="R356" s="1"/>
  <c r="S379"/>
  <c r="S382"/>
  <c r="K216"/>
  <c r="L216" s="1"/>
  <c r="O216" s="1"/>
  <c r="K225"/>
  <c r="L225" s="1"/>
  <c r="O225" s="1"/>
  <c r="S225" s="1"/>
  <c r="K229"/>
  <c r="L229" s="1"/>
  <c r="O229" s="1"/>
  <c r="S229" s="1"/>
  <c r="K233"/>
  <c r="L233" s="1"/>
  <c r="O233" s="1"/>
  <c r="S233" s="1"/>
  <c r="K237"/>
  <c r="L237" s="1"/>
  <c r="O237" s="1"/>
  <c r="S237" s="1"/>
  <c r="K241"/>
  <c r="L241" s="1"/>
  <c r="O241" s="1"/>
  <c r="P241"/>
  <c r="R241" s="1"/>
  <c r="K243"/>
  <c r="L243" s="1"/>
  <c r="O243" s="1"/>
  <c r="S243" s="1"/>
  <c r="P243"/>
  <c r="R243" s="1"/>
  <c r="S248"/>
  <c r="G250"/>
  <c r="I316"/>
  <c r="G316"/>
  <c r="K374"/>
  <c r="L374" s="1"/>
  <c r="O374" s="1"/>
  <c r="S374" s="1"/>
  <c r="K375"/>
  <c r="L375" s="1"/>
  <c r="O375" s="1"/>
  <c r="S375" s="1"/>
  <c r="K376"/>
  <c r="L376" s="1"/>
  <c r="O376" s="1"/>
  <c r="S376" s="1"/>
  <c r="K377"/>
  <c r="L377" s="1"/>
  <c r="O377" s="1"/>
  <c r="S377" s="1"/>
  <c r="K378"/>
  <c r="L378" s="1"/>
  <c r="O378" s="1"/>
  <c r="S378" s="1"/>
  <c r="S383" i="10"/>
  <c r="K355"/>
  <c r="L355" s="1"/>
  <c r="O355" s="1"/>
  <c r="S355" s="1"/>
  <c r="E381" i="11"/>
  <c r="E380" s="1"/>
  <c r="P354" i="10"/>
  <c r="R354" s="1"/>
  <c r="J354"/>
  <c r="K354" s="1"/>
  <c r="L354" s="1"/>
  <c r="O354" s="1"/>
  <c r="K357"/>
  <c r="L357" s="1"/>
  <c r="O357" s="1"/>
  <c r="S357" s="1"/>
  <c r="R350"/>
  <c r="P353"/>
  <c r="R353" s="1"/>
  <c r="S377"/>
  <c r="S363"/>
  <c r="S367"/>
  <c r="S384"/>
  <c r="S359"/>
  <c r="K350"/>
  <c r="J351"/>
  <c r="K351" s="1"/>
  <c r="L351" s="1"/>
  <c r="O351" s="1"/>
  <c r="P351"/>
  <c r="R351" s="1"/>
  <c r="I387"/>
  <c r="O364" i="11"/>
  <c r="C355"/>
  <c r="E349"/>
  <c r="E348" s="1"/>
  <c r="G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J311"/>
  <c r="J310" s="1"/>
  <c r="I311"/>
  <c r="I310" s="1"/>
  <c r="H311"/>
  <c r="H310" s="1"/>
  <c r="G311"/>
  <c r="G310" s="1"/>
  <c r="F311"/>
  <c r="F310" s="1"/>
  <c r="J148" i="12"/>
  <c r="K181"/>
  <c r="L183"/>
  <c r="L185"/>
  <c r="I313" i="10"/>
  <c r="P313" s="1"/>
  <c r="R313" s="1"/>
  <c r="I300"/>
  <c r="P300" s="1"/>
  <c r="R300" s="1"/>
  <c r="I304"/>
  <c r="I295"/>
  <c r="P295" s="1"/>
  <c r="R295" s="1"/>
  <c r="I296"/>
  <c r="P296" s="1"/>
  <c r="R296" s="1"/>
  <c r="I309"/>
  <c r="I293"/>
  <c r="P293" s="1"/>
  <c r="R293" s="1"/>
  <c r="I306"/>
  <c r="P306" s="1"/>
  <c r="R306" s="1"/>
  <c r="K310"/>
  <c r="L310" s="1"/>
  <c r="I283"/>
  <c r="P283" s="1"/>
  <c r="I307"/>
  <c r="Q320"/>
  <c r="N320"/>
  <c r="H320"/>
  <c r="F320"/>
  <c r="E320"/>
  <c r="O319"/>
  <c r="P319" s="1"/>
  <c r="R319" s="1"/>
  <c r="P318"/>
  <c r="R318" s="1"/>
  <c r="K318"/>
  <c r="L318" s="1"/>
  <c r="O318" s="1"/>
  <c r="P317"/>
  <c r="R317" s="1"/>
  <c r="K317"/>
  <c r="L317" s="1"/>
  <c r="O317" s="1"/>
  <c r="P316"/>
  <c r="R316" s="1"/>
  <c r="J316"/>
  <c r="K316" s="1"/>
  <c r="L316" s="1"/>
  <c r="O316" s="1"/>
  <c r="J315"/>
  <c r="I315"/>
  <c r="P315" s="1"/>
  <c r="R315" s="1"/>
  <c r="J314"/>
  <c r="I314"/>
  <c r="P314" s="1"/>
  <c r="R314" s="1"/>
  <c r="J313"/>
  <c r="J312"/>
  <c r="I312"/>
  <c r="P312" s="1"/>
  <c r="R312" s="1"/>
  <c r="J311"/>
  <c r="I311"/>
  <c r="P311" s="1"/>
  <c r="R311" s="1"/>
  <c r="J309"/>
  <c r="P309"/>
  <c r="R309" s="1"/>
  <c r="J308"/>
  <c r="I308"/>
  <c r="P308" s="1"/>
  <c r="R308" s="1"/>
  <c r="J307"/>
  <c r="J306"/>
  <c r="J305"/>
  <c r="I305"/>
  <c r="P305" s="1"/>
  <c r="R305" s="1"/>
  <c r="J304"/>
  <c r="J303"/>
  <c r="I303"/>
  <c r="P303" s="1"/>
  <c r="R303" s="1"/>
  <c r="J302"/>
  <c r="I302"/>
  <c r="P302" s="1"/>
  <c r="R302" s="1"/>
  <c r="J301"/>
  <c r="I301"/>
  <c r="P301" s="1"/>
  <c r="R301" s="1"/>
  <c r="J300"/>
  <c r="J299"/>
  <c r="I299"/>
  <c r="P299" s="1"/>
  <c r="R299" s="1"/>
  <c r="J298"/>
  <c r="I298"/>
  <c r="P298" s="1"/>
  <c r="R298" s="1"/>
  <c r="J297"/>
  <c r="I297"/>
  <c r="P297" s="1"/>
  <c r="R297" s="1"/>
  <c r="J296"/>
  <c r="J295"/>
  <c r="P294"/>
  <c r="R294" s="1"/>
  <c r="K294"/>
  <c r="L294" s="1"/>
  <c r="O294" s="1"/>
  <c r="J293"/>
  <c r="J292"/>
  <c r="I292"/>
  <c r="P292" s="1"/>
  <c r="R292" s="1"/>
  <c r="J291"/>
  <c r="I291"/>
  <c r="P291" s="1"/>
  <c r="R291" s="1"/>
  <c r="J290"/>
  <c r="I290"/>
  <c r="P290" s="1"/>
  <c r="R290" s="1"/>
  <c r="J289"/>
  <c r="I289"/>
  <c r="P289" s="1"/>
  <c r="R289" s="1"/>
  <c r="J288"/>
  <c r="I288"/>
  <c r="P288" s="1"/>
  <c r="R288" s="1"/>
  <c r="G287"/>
  <c r="I287" s="1"/>
  <c r="P287" s="1"/>
  <c r="R287" s="1"/>
  <c r="G286"/>
  <c r="J286" s="1"/>
  <c r="J285"/>
  <c r="I285"/>
  <c r="P285" s="1"/>
  <c r="R285" s="1"/>
  <c r="G284"/>
  <c r="J283"/>
  <c r="E259" i="11"/>
  <c r="E260"/>
  <c r="E261"/>
  <c r="E262"/>
  <c r="E263"/>
  <c r="E264"/>
  <c r="E265"/>
  <c r="E266"/>
  <c r="E267"/>
  <c r="E268"/>
  <c r="E269"/>
  <c r="E270"/>
  <c r="E271"/>
  <c r="E272"/>
  <c r="E258"/>
  <c r="J257"/>
  <c r="J256" s="1"/>
  <c r="I257"/>
  <c r="I256" s="1"/>
  <c r="H257"/>
  <c r="H256" s="1"/>
  <c r="G257"/>
  <c r="F257"/>
  <c r="F256" s="1"/>
  <c r="I223" i="10"/>
  <c r="I227"/>
  <c r="C261"/>
  <c r="C262"/>
  <c r="Q185" i="12"/>
  <c r="N185"/>
  <c r="H185"/>
  <c r="F185"/>
  <c r="E185"/>
  <c r="O184"/>
  <c r="P184" s="1"/>
  <c r="R184" s="1"/>
  <c r="R183"/>
  <c r="P183"/>
  <c r="O183"/>
  <c r="S183" s="1"/>
  <c r="K183"/>
  <c r="R182"/>
  <c r="P182"/>
  <c r="K182"/>
  <c r="L182" s="1"/>
  <c r="O182" s="1"/>
  <c r="S182" s="1"/>
  <c r="R181"/>
  <c r="P181"/>
  <c r="O181"/>
  <c r="S181" s="1"/>
  <c r="L181"/>
  <c r="J181"/>
  <c r="R180"/>
  <c r="P180"/>
  <c r="K180"/>
  <c r="L180" s="1"/>
  <c r="O180" s="1"/>
  <c r="S180" s="1"/>
  <c r="J180"/>
  <c r="R179"/>
  <c r="P179"/>
  <c r="K179"/>
  <c r="L179" s="1"/>
  <c r="O179" s="1"/>
  <c r="S179" s="1"/>
  <c r="J179"/>
  <c r="P178"/>
  <c r="R178" s="1"/>
  <c r="L178"/>
  <c r="O178" s="1"/>
  <c r="K178"/>
  <c r="J178"/>
  <c r="P177"/>
  <c r="R177" s="1"/>
  <c r="L177"/>
  <c r="O177" s="1"/>
  <c r="K177"/>
  <c r="J177"/>
  <c r="R176"/>
  <c r="P176"/>
  <c r="K176"/>
  <c r="L176" s="1"/>
  <c r="O176" s="1"/>
  <c r="S176" s="1"/>
  <c r="J176"/>
  <c r="K175"/>
  <c r="L175" s="1"/>
  <c r="R174"/>
  <c r="P174"/>
  <c r="K174"/>
  <c r="L174" s="1"/>
  <c r="O174" s="1"/>
  <c r="J174"/>
  <c r="R173"/>
  <c r="P173"/>
  <c r="K173"/>
  <c r="L173" s="1"/>
  <c r="O173" s="1"/>
  <c r="J173"/>
  <c r="R172"/>
  <c r="P172"/>
  <c r="K172"/>
  <c r="L172" s="1"/>
  <c r="O172" s="1"/>
  <c r="J172"/>
  <c r="R171"/>
  <c r="P171"/>
  <c r="K171"/>
  <c r="L171" s="1"/>
  <c r="O171" s="1"/>
  <c r="J171"/>
  <c r="R170"/>
  <c r="P170"/>
  <c r="K170"/>
  <c r="L170" s="1"/>
  <c r="O170" s="1"/>
  <c r="J170"/>
  <c r="R169"/>
  <c r="P169"/>
  <c r="K169"/>
  <c r="L169" s="1"/>
  <c r="O169" s="1"/>
  <c r="J169"/>
  <c r="R168"/>
  <c r="P168"/>
  <c r="K168"/>
  <c r="L168" s="1"/>
  <c r="O168" s="1"/>
  <c r="J168"/>
  <c r="R167"/>
  <c r="P167"/>
  <c r="K167"/>
  <c r="L167" s="1"/>
  <c r="O167" s="1"/>
  <c r="J167"/>
  <c r="R166"/>
  <c r="P166"/>
  <c r="K166"/>
  <c r="L166" s="1"/>
  <c r="O166" s="1"/>
  <c r="J166"/>
  <c r="R165"/>
  <c r="P165"/>
  <c r="K165"/>
  <c r="L165" s="1"/>
  <c r="O165" s="1"/>
  <c r="J165"/>
  <c r="R164"/>
  <c r="P164"/>
  <c r="K164"/>
  <c r="L164" s="1"/>
  <c r="O164" s="1"/>
  <c r="J164"/>
  <c r="R163"/>
  <c r="P163"/>
  <c r="K163"/>
  <c r="L163" s="1"/>
  <c r="O163" s="1"/>
  <c r="J163"/>
  <c r="R162"/>
  <c r="P162"/>
  <c r="K162"/>
  <c r="L162" s="1"/>
  <c r="O162" s="1"/>
  <c r="J162"/>
  <c r="R161"/>
  <c r="P161"/>
  <c r="K161"/>
  <c r="L161" s="1"/>
  <c r="O161" s="1"/>
  <c r="J161"/>
  <c r="R160"/>
  <c r="P160"/>
  <c r="K160"/>
  <c r="L160" s="1"/>
  <c r="O160" s="1"/>
  <c r="J160"/>
  <c r="R159"/>
  <c r="P159"/>
  <c r="K159"/>
  <c r="L159" s="1"/>
  <c r="O159" s="1"/>
  <c r="J158"/>
  <c r="P158"/>
  <c r="R158" s="1"/>
  <c r="J157"/>
  <c r="P157"/>
  <c r="R157" s="1"/>
  <c r="J156"/>
  <c r="P156"/>
  <c r="R156" s="1"/>
  <c r="J155"/>
  <c r="P155"/>
  <c r="R155" s="1"/>
  <c r="J154"/>
  <c r="P154"/>
  <c r="R154" s="1"/>
  <c r="J153"/>
  <c r="P153"/>
  <c r="R153" s="1"/>
  <c r="I185"/>
  <c r="G152"/>
  <c r="P152" s="1"/>
  <c r="R152" s="1"/>
  <c r="P151"/>
  <c r="R151" s="1"/>
  <c r="J151"/>
  <c r="G151"/>
  <c r="K151" s="1"/>
  <c r="L151" s="1"/>
  <c r="O151" s="1"/>
  <c r="R150"/>
  <c r="P150"/>
  <c r="K150"/>
  <c r="L150" s="1"/>
  <c r="O150" s="1"/>
  <c r="J150"/>
  <c r="R149"/>
  <c r="P149"/>
  <c r="K149"/>
  <c r="L149" s="1"/>
  <c r="O149" s="1"/>
  <c r="J149"/>
  <c r="G149"/>
  <c r="R148"/>
  <c r="P148"/>
  <c r="K148"/>
  <c r="L148" s="1"/>
  <c r="O148" s="1"/>
  <c r="Q113"/>
  <c r="N113"/>
  <c r="H113"/>
  <c r="F113"/>
  <c r="E113"/>
  <c r="R112"/>
  <c r="P112"/>
  <c r="O112"/>
  <c r="S112" s="1"/>
  <c r="R111"/>
  <c r="P111"/>
  <c r="K111"/>
  <c r="L111" s="1"/>
  <c r="O111" s="1"/>
  <c r="S111" s="1"/>
  <c r="R110"/>
  <c r="P110"/>
  <c r="O110"/>
  <c r="S110" s="1"/>
  <c r="L110"/>
  <c r="K110"/>
  <c r="R109"/>
  <c r="P109"/>
  <c r="K109"/>
  <c r="L109" s="1"/>
  <c r="O109" s="1"/>
  <c r="S109" s="1"/>
  <c r="J109"/>
  <c r="P108"/>
  <c r="R108" s="1"/>
  <c r="J108"/>
  <c r="K108"/>
  <c r="L108" s="1"/>
  <c r="O108" s="1"/>
  <c r="S108" s="1"/>
  <c r="P107"/>
  <c r="R107" s="1"/>
  <c r="J107"/>
  <c r="K107"/>
  <c r="L107" s="1"/>
  <c r="O107" s="1"/>
  <c r="P106"/>
  <c r="R106" s="1"/>
  <c r="J106"/>
  <c r="K106"/>
  <c r="L106" s="1"/>
  <c r="O106" s="1"/>
  <c r="P105"/>
  <c r="R105" s="1"/>
  <c r="J105"/>
  <c r="K105"/>
  <c r="L105" s="1"/>
  <c r="O105" s="1"/>
  <c r="S105" s="1"/>
  <c r="P104"/>
  <c r="R104" s="1"/>
  <c r="J104"/>
  <c r="K104"/>
  <c r="L104" s="1"/>
  <c r="O104" s="1"/>
  <c r="S104" s="1"/>
  <c r="K103"/>
  <c r="L103" s="1"/>
  <c r="J102"/>
  <c r="P102"/>
  <c r="R102" s="1"/>
  <c r="J101"/>
  <c r="P101"/>
  <c r="R101" s="1"/>
  <c r="J100"/>
  <c r="P100"/>
  <c r="R100" s="1"/>
  <c r="J99"/>
  <c r="P99"/>
  <c r="R99" s="1"/>
  <c r="J98"/>
  <c r="P98"/>
  <c r="R98" s="1"/>
  <c r="J97"/>
  <c r="P97"/>
  <c r="R97" s="1"/>
  <c r="J96"/>
  <c r="P96"/>
  <c r="R96" s="1"/>
  <c r="J95"/>
  <c r="P95"/>
  <c r="R95" s="1"/>
  <c r="J94"/>
  <c r="P94"/>
  <c r="R94" s="1"/>
  <c r="J93"/>
  <c r="P93"/>
  <c r="R93" s="1"/>
  <c r="J92"/>
  <c r="P92"/>
  <c r="R92" s="1"/>
  <c r="J91"/>
  <c r="P91"/>
  <c r="R91" s="1"/>
  <c r="J90"/>
  <c r="P90"/>
  <c r="R90" s="1"/>
  <c r="J89"/>
  <c r="P89"/>
  <c r="R89" s="1"/>
  <c r="J88"/>
  <c r="P88"/>
  <c r="R88" s="1"/>
  <c r="R87"/>
  <c r="P87"/>
  <c r="K87"/>
  <c r="L87" s="1"/>
  <c r="O87" s="1"/>
  <c r="S87" s="1"/>
  <c r="R86"/>
  <c r="P86"/>
  <c r="K86"/>
  <c r="L86" s="1"/>
  <c r="O86" s="1"/>
  <c r="J86"/>
  <c r="R85"/>
  <c r="P85"/>
  <c r="K85"/>
  <c r="L85" s="1"/>
  <c r="O85" s="1"/>
  <c r="J85"/>
  <c r="R84"/>
  <c r="P84"/>
  <c r="K84"/>
  <c r="L84" s="1"/>
  <c r="O84" s="1"/>
  <c r="J84"/>
  <c r="R83"/>
  <c r="P83"/>
  <c r="K83"/>
  <c r="L83" s="1"/>
  <c r="O83" s="1"/>
  <c r="J83"/>
  <c r="R82"/>
  <c r="P82"/>
  <c r="K82"/>
  <c r="L82" s="1"/>
  <c r="O82" s="1"/>
  <c r="J82"/>
  <c r="R81"/>
  <c r="P81"/>
  <c r="K81"/>
  <c r="L81" s="1"/>
  <c r="O81" s="1"/>
  <c r="J81"/>
  <c r="R80"/>
  <c r="P80"/>
  <c r="K80"/>
  <c r="L80" s="1"/>
  <c r="O80" s="1"/>
  <c r="J80"/>
  <c r="G80"/>
  <c r="G79"/>
  <c r="J78"/>
  <c r="P78"/>
  <c r="R78" s="1"/>
  <c r="G77"/>
  <c r="P77" s="1"/>
  <c r="R77" s="1"/>
  <c r="P76"/>
  <c r="J76"/>
  <c r="K76"/>
  <c r="Q47"/>
  <c r="N47"/>
  <c r="H47"/>
  <c r="F47"/>
  <c r="E47"/>
  <c r="O46"/>
  <c r="P46" s="1"/>
  <c r="R46" s="1"/>
  <c r="R45"/>
  <c r="P45"/>
  <c r="O45"/>
  <c r="S45" s="1"/>
  <c r="L45"/>
  <c r="K45"/>
  <c r="R44"/>
  <c r="P44"/>
  <c r="K44"/>
  <c r="L44" s="1"/>
  <c r="O44" s="1"/>
  <c r="S44" s="1"/>
  <c r="P43"/>
  <c r="R43" s="1"/>
  <c r="K43"/>
  <c r="L43" s="1"/>
  <c r="O43" s="1"/>
  <c r="J43"/>
  <c r="R42"/>
  <c r="P42"/>
  <c r="K42"/>
  <c r="L42" s="1"/>
  <c r="O42" s="1"/>
  <c r="S42" s="1"/>
  <c r="J42"/>
  <c r="P41"/>
  <c r="R41" s="1"/>
  <c r="L41"/>
  <c r="O41" s="1"/>
  <c r="K41"/>
  <c r="J41"/>
  <c r="P40"/>
  <c r="R40" s="1"/>
  <c r="L40"/>
  <c r="O40" s="1"/>
  <c r="K40"/>
  <c r="J40"/>
  <c r="R39"/>
  <c r="P39"/>
  <c r="K39"/>
  <c r="L39" s="1"/>
  <c r="O39" s="1"/>
  <c r="S39" s="1"/>
  <c r="J39"/>
  <c r="R38"/>
  <c r="P38"/>
  <c r="K38"/>
  <c r="L38" s="1"/>
  <c r="O38" s="1"/>
  <c r="S38" s="1"/>
  <c r="J38"/>
  <c r="K37"/>
  <c r="L37" s="1"/>
  <c r="R36"/>
  <c r="P36"/>
  <c r="K36"/>
  <c r="L36" s="1"/>
  <c r="O36" s="1"/>
  <c r="J36"/>
  <c r="R35"/>
  <c r="P35"/>
  <c r="K35"/>
  <c r="L35" s="1"/>
  <c r="O35" s="1"/>
  <c r="J35"/>
  <c r="R34"/>
  <c r="P34"/>
  <c r="K34"/>
  <c r="L34" s="1"/>
  <c r="O34" s="1"/>
  <c r="J34"/>
  <c r="R33"/>
  <c r="P33"/>
  <c r="K33"/>
  <c r="L33" s="1"/>
  <c r="O33" s="1"/>
  <c r="J33"/>
  <c r="R32"/>
  <c r="P32"/>
  <c r="K32"/>
  <c r="L32" s="1"/>
  <c r="O32" s="1"/>
  <c r="J32"/>
  <c r="R31"/>
  <c r="P31"/>
  <c r="K31"/>
  <c r="L31" s="1"/>
  <c r="O31" s="1"/>
  <c r="J31"/>
  <c r="R30"/>
  <c r="P30"/>
  <c r="K30"/>
  <c r="L30" s="1"/>
  <c r="O30" s="1"/>
  <c r="J30"/>
  <c r="R29"/>
  <c r="P29"/>
  <c r="K29"/>
  <c r="L29" s="1"/>
  <c r="O29" s="1"/>
  <c r="J29"/>
  <c r="R28"/>
  <c r="P28"/>
  <c r="K28"/>
  <c r="L28" s="1"/>
  <c r="O28" s="1"/>
  <c r="J28"/>
  <c r="R27"/>
  <c r="P27"/>
  <c r="K27"/>
  <c r="L27" s="1"/>
  <c r="O27" s="1"/>
  <c r="J27"/>
  <c r="R26"/>
  <c r="P26"/>
  <c r="K26"/>
  <c r="L26" s="1"/>
  <c r="O26" s="1"/>
  <c r="J26"/>
  <c r="R25"/>
  <c r="P25"/>
  <c r="K25"/>
  <c r="L25" s="1"/>
  <c r="O25" s="1"/>
  <c r="J25"/>
  <c r="R24"/>
  <c r="P24"/>
  <c r="K24"/>
  <c r="L24" s="1"/>
  <c r="O24" s="1"/>
  <c r="J24"/>
  <c r="R23"/>
  <c r="P23"/>
  <c r="K23"/>
  <c r="L23" s="1"/>
  <c r="O23" s="1"/>
  <c r="J23"/>
  <c r="R22"/>
  <c r="P22"/>
  <c r="K22"/>
  <c r="L22" s="1"/>
  <c r="O22" s="1"/>
  <c r="J22"/>
  <c r="R21"/>
  <c r="P21"/>
  <c r="K21"/>
  <c r="L21" s="1"/>
  <c r="O21" s="1"/>
  <c r="J20"/>
  <c r="P20"/>
  <c r="R20" s="1"/>
  <c r="J19"/>
  <c r="P19"/>
  <c r="R19" s="1"/>
  <c r="J18"/>
  <c r="P18"/>
  <c r="R18" s="1"/>
  <c r="J17"/>
  <c r="P17"/>
  <c r="R17" s="1"/>
  <c r="J16"/>
  <c r="P16"/>
  <c r="R16" s="1"/>
  <c r="J15"/>
  <c r="P15"/>
  <c r="R15" s="1"/>
  <c r="I47"/>
  <c r="G14"/>
  <c r="P14" s="1"/>
  <c r="R14" s="1"/>
  <c r="P13"/>
  <c r="R13" s="1"/>
  <c r="J13"/>
  <c r="G13"/>
  <c r="K13" s="1"/>
  <c r="L13" s="1"/>
  <c r="O13" s="1"/>
  <c r="S13" s="1"/>
  <c r="R12"/>
  <c r="P12"/>
  <c r="K12"/>
  <c r="L12" s="1"/>
  <c r="O12" s="1"/>
  <c r="J12"/>
  <c r="R11"/>
  <c r="P11"/>
  <c r="K11"/>
  <c r="L11" s="1"/>
  <c r="O11" s="1"/>
  <c r="J11"/>
  <c r="G11"/>
  <c r="P10"/>
  <c r="R10" s="1"/>
  <c r="L10"/>
  <c r="O10" s="1"/>
  <c r="K10"/>
  <c r="J10"/>
  <c r="I234" i="10"/>
  <c r="I239"/>
  <c r="P787" l="1"/>
  <c r="R750"/>
  <c r="R787" s="1"/>
  <c r="S751"/>
  <c r="K787"/>
  <c r="L787"/>
  <c r="O750"/>
  <c r="S716"/>
  <c r="S717"/>
  <c r="S690"/>
  <c r="E700" i="11"/>
  <c r="S438" i="10"/>
  <c r="S694"/>
  <c r="K309"/>
  <c r="L309" s="1"/>
  <c r="O309" s="1"/>
  <c r="S309" s="1"/>
  <c r="S691"/>
  <c r="S494"/>
  <c r="S640"/>
  <c r="K689"/>
  <c r="L689" s="1"/>
  <c r="S541" i="12"/>
  <c r="S533"/>
  <c r="L469"/>
  <c r="O469" s="1"/>
  <c r="K503"/>
  <c r="P632"/>
  <c r="R595"/>
  <c r="R632" s="1"/>
  <c r="O466"/>
  <c r="K568"/>
  <c r="L531"/>
  <c r="P568"/>
  <c r="R531"/>
  <c r="R568" s="1"/>
  <c r="S538"/>
  <c r="J632"/>
  <c r="K532"/>
  <c r="L532" s="1"/>
  <c r="O532" s="1"/>
  <c r="S532" s="1"/>
  <c r="J568"/>
  <c r="P469"/>
  <c r="K596"/>
  <c r="S540"/>
  <c r="S539"/>
  <c r="I568"/>
  <c r="K725" i="10"/>
  <c r="O688"/>
  <c r="I725"/>
  <c r="P689"/>
  <c r="R689" s="1"/>
  <c r="R688"/>
  <c r="S650"/>
  <c r="S587"/>
  <c r="S430"/>
  <c r="S514"/>
  <c r="S379"/>
  <c r="S651"/>
  <c r="S626"/>
  <c r="S585"/>
  <c r="S360"/>
  <c r="S417"/>
  <c r="K624"/>
  <c r="L624" s="1"/>
  <c r="O624" s="1"/>
  <c r="S624" s="1"/>
  <c r="S500"/>
  <c r="S634"/>
  <c r="S495"/>
  <c r="K489"/>
  <c r="L489" s="1"/>
  <c r="O489" s="1"/>
  <c r="S489" s="1"/>
  <c r="I523"/>
  <c r="S418"/>
  <c r="S653"/>
  <c r="S492"/>
  <c r="S432"/>
  <c r="S512"/>
  <c r="S637"/>
  <c r="S563"/>
  <c r="S381"/>
  <c r="S496"/>
  <c r="S517"/>
  <c r="S380"/>
  <c r="S652"/>
  <c r="S627"/>
  <c r="S356"/>
  <c r="S622"/>
  <c r="S508"/>
  <c r="K283"/>
  <c r="K302"/>
  <c r="L302" s="1"/>
  <c r="O302" s="1"/>
  <c r="S302" s="1"/>
  <c r="S518"/>
  <c r="S493"/>
  <c r="S649"/>
  <c r="S623"/>
  <c r="S643"/>
  <c r="K306"/>
  <c r="L306" s="1"/>
  <c r="O306" s="1"/>
  <c r="S306" s="1"/>
  <c r="J523"/>
  <c r="O513"/>
  <c r="S513" s="1"/>
  <c r="J287"/>
  <c r="K287" s="1"/>
  <c r="L287" s="1"/>
  <c r="O287" s="1"/>
  <c r="S287" s="1"/>
  <c r="K296"/>
  <c r="L296" s="1"/>
  <c r="O296" s="1"/>
  <c r="S296" s="1"/>
  <c r="R453"/>
  <c r="P487"/>
  <c r="R487" s="1"/>
  <c r="R523" s="1"/>
  <c r="K487"/>
  <c r="L487" s="1"/>
  <c r="O487" s="1"/>
  <c r="S629"/>
  <c r="R658"/>
  <c r="K307"/>
  <c r="L307" s="1"/>
  <c r="O307" s="1"/>
  <c r="G320"/>
  <c r="K301"/>
  <c r="L301" s="1"/>
  <c r="O301" s="1"/>
  <c r="S301" s="1"/>
  <c r="J658"/>
  <c r="S621"/>
  <c r="P658"/>
  <c r="K625"/>
  <c r="S559"/>
  <c r="S588"/>
  <c r="K295"/>
  <c r="L295" s="1"/>
  <c r="O295" s="1"/>
  <c r="S295" s="1"/>
  <c r="V362" s="1"/>
  <c r="K298"/>
  <c r="L298" s="1"/>
  <c r="O298" s="1"/>
  <c r="S298" s="1"/>
  <c r="K300"/>
  <c r="L300" s="1"/>
  <c r="O300" s="1"/>
  <c r="S300" s="1"/>
  <c r="K305"/>
  <c r="L305" s="1"/>
  <c r="O305" s="1"/>
  <c r="S305" s="1"/>
  <c r="P307"/>
  <c r="R307" s="1"/>
  <c r="K304"/>
  <c r="L304" s="1"/>
  <c r="O304" s="1"/>
  <c r="S516"/>
  <c r="S491"/>
  <c r="J593"/>
  <c r="S584"/>
  <c r="J387"/>
  <c r="K297"/>
  <c r="L297" s="1"/>
  <c r="O297" s="1"/>
  <c r="S297" s="1"/>
  <c r="S354"/>
  <c r="J453"/>
  <c r="K419"/>
  <c r="L419" s="1"/>
  <c r="O419" s="1"/>
  <c r="S419" s="1"/>
  <c r="S515"/>
  <c r="O556"/>
  <c r="S556" s="1"/>
  <c r="P593"/>
  <c r="K557"/>
  <c r="R593"/>
  <c r="S560"/>
  <c r="S433" i="12"/>
  <c r="S486" i="10"/>
  <c r="S490"/>
  <c r="L420"/>
  <c r="S416"/>
  <c r="P453"/>
  <c r="R443" i="12"/>
  <c r="L409"/>
  <c r="K443"/>
  <c r="J443"/>
  <c r="S303"/>
  <c r="S295"/>
  <c r="S281"/>
  <c r="S304"/>
  <c r="S296"/>
  <c r="S241"/>
  <c r="S240"/>
  <c r="S244"/>
  <c r="P250"/>
  <c r="R213"/>
  <c r="R250" s="1"/>
  <c r="L279"/>
  <c r="L346"/>
  <c r="K383"/>
  <c r="L213"/>
  <c r="K250"/>
  <c r="R279"/>
  <c r="P316"/>
  <c r="P383"/>
  <c r="R346"/>
  <c r="R383" s="1"/>
  <c r="S356"/>
  <c r="S352"/>
  <c r="K347"/>
  <c r="L347" s="1"/>
  <c r="O347" s="1"/>
  <c r="S347" s="1"/>
  <c r="S353"/>
  <c r="S302"/>
  <c r="S294"/>
  <c r="S354"/>
  <c r="S299"/>
  <c r="S291"/>
  <c r="S214"/>
  <c r="S300"/>
  <c r="S292"/>
  <c r="K282"/>
  <c r="L282" s="1"/>
  <c r="O282" s="1"/>
  <c r="S305"/>
  <c r="S297"/>
  <c r="J250"/>
  <c r="S216"/>
  <c r="S355"/>
  <c r="S351"/>
  <c r="P282"/>
  <c r="R282" s="1"/>
  <c r="S298"/>
  <c r="K280"/>
  <c r="L280" s="1"/>
  <c r="O280" s="1"/>
  <c r="S280" s="1"/>
  <c r="S351" i="10"/>
  <c r="S353"/>
  <c r="P387"/>
  <c r="R387"/>
  <c r="L350"/>
  <c r="K387"/>
  <c r="S316"/>
  <c r="E311" i="11"/>
  <c r="E310" s="1"/>
  <c r="K285" i="10"/>
  <c r="L285" s="1"/>
  <c r="O285" s="1"/>
  <c r="S285" s="1"/>
  <c r="P304"/>
  <c r="R304" s="1"/>
  <c r="K299"/>
  <c r="L299" s="1"/>
  <c r="O299" s="1"/>
  <c r="K303"/>
  <c r="L303" s="1"/>
  <c r="O303" s="1"/>
  <c r="S303" s="1"/>
  <c r="S317"/>
  <c r="S294"/>
  <c r="K308"/>
  <c r="L308" s="1"/>
  <c r="O308" s="1"/>
  <c r="S308" s="1"/>
  <c r="K311"/>
  <c r="L311" s="1"/>
  <c r="O311" s="1"/>
  <c r="S311" s="1"/>
  <c r="I284"/>
  <c r="P284" s="1"/>
  <c r="R284" s="1"/>
  <c r="O310"/>
  <c r="L283"/>
  <c r="S299"/>
  <c r="S318"/>
  <c r="R283"/>
  <c r="J284"/>
  <c r="I286"/>
  <c r="P286" s="1"/>
  <c r="R286" s="1"/>
  <c r="K312"/>
  <c r="L312" s="1"/>
  <c r="O312" s="1"/>
  <c r="S312" s="1"/>
  <c r="K313"/>
  <c r="L313" s="1"/>
  <c r="O313" s="1"/>
  <c r="S313" s="1"/>
  <c r="K314"/>
  <c r="L314" s="1"/>
  <c r="O314" s="1"/>
  <c r="S314" s="1"/>
  <c r="K315"/>
  <c r="L315" s="1"/>
  <c r="O315" s="1"/>
  <c r="S315" s="1"/>
  <c r="S319"/>
  <c r="K288"/>
  <c r="L288" s="1"/>
  <c r="O288" s="1"/>
  <c r="S288" s="1"/>
  <c r="V355" s="1"/>
  <c r="K289"/>
  <c r="L289" s="1"/>
  <c r="O289" s="1"/>
  <c r="S289" s="1"/>
  <c r="K290"/>
  <c r="L290" s="1"/>
  <c r="O290" s="1"/>
  <c r="S290" s="1"/>
  <c r="V357" s="1"/>
  <c r="K291"/>
  <c r="L291" s="1"/>
  <c r="O291" s="1"/>
  <c r="S291" s="1"/>
  <c r="K292"/>
  <c r="L292" s="1"/>
  <c r="O292" s="1"/>
  <c r="S292" s="1"/>
  <c r="K293"/>
  <c r="L293" s="1"/>
  <c r="O293" s="1"/>
  <c r="S293" s="1"/>
  <c r="G256" i="11"/>
  <c r="E257"/>
  <c r="E256" s="1"/>
  <c r="O175" i="12"/>
  <c r="S175" s="1"/>
  <c r="M175"/>
  <c r="P175" s="1"/>
  <c r="R175" s="1"/>
  <c r="R185" s="1"/>
  <c r="S177"/>
  <c r="S149"/>
  <c r="S150"/>
  <c r="S159"/>
  <c r="S160"/>
  <c r="S161"/>
  <c r="S162"/>
  <c r="S163"/>
  <c r="S164"/>
  <c r="S165"/>
  <c r="S166"/>
  <c r="S167"/>
  <c r="S168"/>
  <c r="S169"/>
  <c r="S170"/>
  <c r="S171"/>
  <c r="S172"/>
  <c r="S173"/>
  <c r="S174"/>
  <c r="S178"/>
  <c r="S151"/>
  <c r="S80"/>
  <c r="S81"/>
  <c r="S82"/>
  <c r="S83"/>
  <c r="S84"/>
  <c r="S85"/>
  <c r="S86"/>
  <c r="O37"/>
  <c r="S37" s="1"/>
  <c r="M37"/>
  <c r="P37" s="1"/>
  <c r="R37" s="1"/>
  <c r="R47" s="1"/>
  <c r="S43"/>
  <c r="P47"/>
  <c r="S41"/>
  <c r="S40"/>
  <c r="S11"/>
  <c r="S12"/>
  <c r="S21"/>
  <c r="S22"/>
  <c r="S23"/>
  <c r="S24"/>
  <c r="S25"/>
  <c r="S26"/>
  <c r="S27"/>
  <c r="S28"/>
  <c r="S29"/>
  <c r="S30"/>
  <c r="S31"/>
  <c r="S32"/>
  <c r="S33"/>
  <c r="S34"/>
  <c r="S35"/>
  <c r="S36"/>
  <c r="M103"/>
  <c r="S148"/>
  <c r="L76"/>
  <c r="S10"/>
  <c r="S106"/>
  <c r="S107"/>
  <c r="P185"/>
  <c r="G113"/>
  <c r="M185"/>
  <c r="S46"/>
  <c r="S184"/>
  <c r="K15"/>
  <c r="L15" s="1"/>
  <c r="O15" s="1"/>
  <c r="S15" s="1"/>
  <c r="K18"/>
  <c r="L18" s="1"/>
  <c r="O18" s="1"/>
  <c r="S18" s="1"/>
  <c r="G47"/>
  <c r="K77"/>
  <c r="L77" s="1"/>
  <c r="O77" s="1"/>
  <c r="S77" s="1"/>
  <c r="K78"/>
  <c r="L78" s="1"/>
  <c r="O78" s="1"/>
  <c r="S78" s="1"/>
  <c r="J79"/>
  <c r="K79" s="1"/>
  <c r="P79"/>
  <c r="R79" s="1"/>
  <c r="K88"/>
  <c r="L88" s="1"/>
  <c r="O88" s="1"/>
  <c r="S88" s="1"/>
  <c r="K89"/>
  <c r="L89" s="1"/>
  <c r="O89" s="1"/>
  <c r="S89" s="1"/>
  <c r="K90"/>
  <c r="L90" s="1"/>
  <c r="O90" s="1"/>
  <c r="S90" s="1"/>
  <c r="K91"/>
  <c r="L91" s="1"/>
  <c r="O91" s="1"/>
  <c r="S91" s="1"/>
  <c r="K92"/>
  <c r="L92" s="1"/>
  <c r="O92" s="1"/>
  <c r="S92" s="1"/>
  <c r="K93"/>
  <c r="L93" s="1"/>
  <c r="O93" s="1"/>
  <c r="S93" s="1"/>
  <c r="K94"/>
  <c r="L94" s="1"/>
  <c r="O94" s="1"/>
  <c r="S94" s="1"/>
  <c r="K95"/>
  <c r="L95" s="1"/>
  <c r="O95" s="1"/>
  <c r="S95" s="1"/>
  <c r="K96"/>
  <c r="L96" s="1"/>
  <c r="O96" s="1"/>
  <c r="S96" s="1"/>
  <c r="K97"/>
  <c r="L97" s="1"/>
  <c r="O97" s="1"/>
  <c r="S97" s="1"/>
  <c r="K98"/>
  <c r="L98" s="1"/>
  <c r="O98" s="1"/>
  <c r="S98" s="1"/>
  <c r="K99"/>
  <c r="L99" s="1"/>
  <c r="O99" s="1"/>
  <c r="S99" s="1"/>
  <c r="K100"/>
  <c r="L100" s="1"/>
  <c r="O100" s="1"/>
  <c r="S100" s="1"/>
  <c r="K101"/>
  <c r="L101" s="1"/>
  <c r="O101" s="1"/>
  <c r="S101" s="1"/>
  <c r="K102"/>
  <c r="L102" s="1"/>
  <c r="O102" s="1"/>
  <c r="S102" s="1"/>
  <c r="I113"/>
  <c r="K153"/>
  <c r="L153" s="1"/>
  <c r="O153" s="1"/>
  <c r="S153" s="1"/>
  <c r="K154"/>
  <c r="L154" s="1"/>
  <c r="O154" s="1"/>
  <c r="S154" s="1"/>
  <c r="K155"/>
  <c r="L155" s="1"/>
  <c r="O155" s="1"/>
  <c r="S155" s="1"/>
  <c r="K156"/>
  <c r="L156" s="1"/>
  <c r="O156" s="1"/>
  <c r="S156" s="1"/>
  <c r="K157"/>
  <c r="L157" s="1"/>
  <c r="O157" s="1"/>
  <c r="S157" s="1"/>
  <c r="K158"/>
  <c r="L158" s="1"/>
  <c r="O158" s="1"/>
  <c r="S158" s="1"/>
  <c r="G185"/>
  <c r="M47"/>
  <c r="K14"/>
  <c r="L14" s="1"/>
  <c r="O14" s="1"/>
  <c r="S14" s="1"/>
  <c r="K16"/>
  <c r="L16" s="1"/>
  <c r="O16" s="1"/>
  <c r="S16" s="1"/>
  <c r="K17"/>
  <c r="L17" s="1"/>
  <c r="O17" s="1"/>
  <c r="S17" s="1"/>
  <c r="K19"/>
  <c r="L19" s="1"/>
  <c r="O19" s="1"/>
  <c r="S19" s="1"/>
  <c r="K20"/>
  <c r="L20" s="1"/>
  <c r="O20" s="1"/>
  <c r="S20" s="1"/>
  <c r="J14"/>
  <c r="J47" s="1"/>
  <c r="R76"/>
  <c r="J77"/>
  <c r="J152"/>
  <c r="K152" s="1"/>
  <c r="C199" i="11"/>
  <c r="O174"/>
  <c r="O175"/>
  <c r="O176"/>
  <c r="O177"/>
  <c r="O178"/>
  <c r="O171"/>
  <c r="O172"/>
  <c r="O173"/>
  <c r="O170"/>
  <c r="O168"/>
  <c r="O169"/>
  <c r="O167"/>
  <c r="O165"/>
  <c r="O164"/>
  <c r="O162"/>
  <c r="O158"/>
  <c r="O156"/>
  <c r="O153"/>
  <c r="O151"/>
  <c r="S750" i="10" l="1"/>
  <c r="S787" s="1"/>
  <c r="O787"/>
  <c r="O689"/>
  <c r="L725"/>
  <c r="O503" i="12"/>
  <c r="S466"/>
  <c r="S503" s="1"/>
  <c r="S469"/>
  <c r="R469"/>
  <c r="R503" s="1"/>
  <c r="P503"/>
  <c r="L596"/>
  <c r="K632"/>
  <c r="L568"/>
  <c r="O531"/>
  <c r="S595"/>
  <c r="L503"/>
  <c r="O725" i="10"/>
  <c r="S688"/>
  <c r="P725"/>
  <c r="R725"/>
  <c r="S689"/>
  <c r="O523"/>
  <c r="K523"/>
  <c r="K284"/>
  <c r="L284" s="1"/>
  <c r="O284" s="1"/>
  <c r="S284" s="1"/>
  <c r="V351" s="1"/>
  <c r="S307"/>
  <c r="L523"/>
  <c r="P523"/>
  <c r="S487"/>
  <c r="S523" s="1"/>
  <c r="K453"/>
  <c r="L625"/>
  <c r="K658"/>
  <c r="S304"/>
  <c r="V354"/>
  <c r="L557"/>
  <c r="K593"/>
  <c r="O420"/>
  <c r="L453"/>
  <c r="O409" i="12"/>
  <c r="L443"/>
  <c r="S282"/>
  <c r="R316"/>
  <c r="L383"/>
  <c r="O346"/>
  <c r="L250"/>
  <c r="O213"/>
  <c r="O279"/>
  <c r="L316"/>
  <c r="K316"/>
  <c r="L387" i="10"/>
  <c r="O350"/>
  <c r="O283"/>
  <c r="P310"/>
  <c r="M320"/>
  <c r="J320"/>
  <c r="I320"/>
  <c r="K286"/>
  <c r="O179" i="11"/>
  <c r="L79" i="12"/>
  <c r="O79" s="1"/>
  <c r="S79" s="1"/>
  <c r="K113"/>
  <c r="L152"/>
  <c r="K185"/>
  <c r="L113"/>
  <c r="O76"/>
  <c r="P103"/>
  <c r="R103" s="1"/>
  <c r="R113" s="1"/>
  <c r="M113"/>
  <c r="L47"/>
  <c r="J113"/>
  <c r="K47"/>
  <c r="J185"/>
  <c r="S47"/>
  <c r="O47"/>
  <c r="O103"/>
  <c r="F151" i="11"/>
  <c r="F150" s="1"/>
  <c r="I217" i="10"/>
  <c r="I238"/>
  <c r="P238" s="1"/>
  <c r="R238" s="1"/>
  <c r="I243"/>
  <c r="P243" s="1"/>
  <c r="R243" s="1"/>
  <c r="I241"/>
  <c r="P241" s="1"/>
  <c r="R241" s="1"/>
  <c r="I240"/>
  <c r="P240" s="1"/>
  <c r="R240" s="1"/>
  <c r="I230"/>
  <c r="P230" s="1"/>
  <c r="R230" s="1"/>
  <c r="I229"/>
  <c r="P229" s="1"/>
  <c r="R229" s="1"/>
  <c r="I236"/>
  <c r="P236" s="1"/>
  <c r="R236" s="1"/>
  <c r="I233"/>
  <c r="P233" s="1"/>
  <c r="R233" s="1"/>
  <c r="I232"/>
  <c r="P232" s="1"/>
  <c r="R232" s="1"/>
  <c r="I224"/>
  <c r="I219"/>
  <c r="P219" s="1"/>
  <c r="R219" s="1"/>
  <c r="I148"/>
  <c r="P148" s="1"/>
  <c r="I76"/>
  <c r="P76" s="1"/>
  <c r="Q123" i="11"/>
  <c r="F81"/>
  <c r="F80" s="1"/>
  <c r="C195"/>
  <c r="E189"/>
  <c r="E188" s="1"/>
  <c r="G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J151"/>
  <c r="J150" s="1"/>
  <c r="I151"/>
  <c r="I150" s="1"/>
  <c r="H151"/>
  <c r="H150" s="1"/>
  <c r="G151"/>
  <c r="I247" i="10"/>
  <c r="P247" s="1"/>
  <c r="R247" s="1"/>
  <c r="I245"/>
  <c r="P245" s="1"/>
  <c r="R245" s="1"/>
  <c r="I249"/>
  <c r="I235"/>
  <c r="P234"/>
  <c r="R234" s="1"/>
  <c r="Q254"/>
  <c r="N254"/>
  <c r="H254"/>
  <c r="F254"/>
  <c r="E254"/>
  <c r="O253"/>
  <c r="P253" s="1"/>
  <c r="R253" s="1"/>
  <c r="S253" s="1"/>
  <c r="P252"/>
  <c r="R252" s="1"/>
  <c r="K252"/>
  <c r="L252" s="1"/>
  <c r="O252" s="1"/>
  <c r="P251"/>
  <c r="R251" s="1"/>
  <c r="K251"/>
  <c r="L251" s="1"/>
  <c r="O251" s="1"/>
  <c r="P250"/>
  <c r="R250" s="1"/>
  <c r="J250"/>
  <c r="K250" s="1"/>
  <c r="L250" s="1"/>
  <c r="O250" s="1"/>
  <c r="P249"/>
  <c r="R249" s="1"/>
  <c r="J249"/>
  <c r="J248"/>
  <c r="I248"/>
  <c r="J247"/>
  <c r="J246"/>
  <c r="I246"/>
  <c r="P246" s="1"/>
  <c r="R246" s="1"/>
  <c r="J245"/>
  <c r="K244"/>
  <c r="L244" s="1"/>
  <c r="J243"/>
  <c r="J242"/>
  <c r="I242"/>
  <c r="P242" s="1"/>
  <c r="R242" s="1"/>
  <c r="J241"/>
  <c r="J240"/>
  <c r="J239"/>
  <c r="P239"/>
  <c r="R239" s="1"/>
  <c r="J238"/>
  <c r="J237"/>
  <c r="I237"/>
  <c r="P237" s="1"/>
  <c r="R237" s="1"/>
  <c r="J236"/>
  <c r="J235"/>
  <c r="P235"/>
  <c r="R235" s="1"/>
  <c r="J234"/>
  <c r="J233"/>
  <c r="J232"/>
  <c r="J231"/>
  <c r="I231"/>
  <c r="P231" s="1"/>
  <c r="R231" s="1"/>
  <c r="J230"/>
  <c r="J229"/>
  <c r="P228"/>
  <c r="R228" s="1"/>
  <c r="K228"/>
  <c r="L228" s="1"/>
  <c r="O228" s="1"/>
  <c r="J227"/>
  <c r="J226"/>
  <c r="I226"/>
  <c r="P226" s="1"/>
  <c r="R226" s="1"/>
  <c r="J225"/>
  <c r="I225"/>
  <c r="P225" s="1"/>
  <c r="R225" s="1"/>
  <c r="J224"/>
  <c r="K224" s="1"/>
  <c r="L224" s="1"/>
  <c r="O224" s="1"/>
  <c r="J223"/>
  <c r="J222"/>
  <c r="I222"/>
  <c r="P222" s="1"/>
  <c r="R222" s="1"/>
  <c r="G221"/>
  <c r="I221" s="1"/>
  <c r="G220"/>
  <c r="I220" s="1"/>
  <c r="J219"/>
  <c r="G218"/>
  <c r="I218" s="1"/>
  <c r="J217"/>
  <c r="I165"/>
  <c r="P165" s="1"/>
  <c r="R165" s="1"/>
  <c r="C125" i="11"/>
  <c r="E119"/>
  <c r="E118" s="1"/>
  <c r="G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J81"/>
  <c r="J80" s="1"/>
  <c r="I81"/>
  <c r="I80" s="1"/>
  <c r="H81"/>
  <c r="H80" s="1"/>
  <c r="G81"/>
  <c r="Q185" i="10"/>
  <c r="N185"/>
  <c r="H185"/>
  <c r="F185"/>
  <c r="E185"/>
  <c r="O184"/>
  <c r="P184" s="1"/>
  <c r="R184" s="1"/>
  <c r="S184" s="1"/>
  <c r="P183"/>
  <c r="R183" s="1"/>
  <c r="K183"/>
  <c r="L183" s="1"/>
  <c r="O183" s="1"/>
  <c r="P182"/>
  <c r="R182" s="1"/>
  <c r="K182"/>
  <c r="L182" s="1"/>
  <c r="O182" s="1"/>
  <c r="P181"/>
  <c r="R181" s="1"/>
  <c r="J181"/>
  <c r="K181" s="1"/>
  <c r="L181" s="1"/>
  <c r="O181" s="1"/>
  <c r="J180"/>
  <c r="I180"/>
  <c r="P180" s="1"/>
  <c r="R180" s="1"/>
  <c r="J179"/>
  <c r="I179"/>
  <c r="P179" s="1"/>
  <c r="R179" s="1"/>
  <c r="J178"/>
  <c r="I178"/>
  <c r="P178" s="1"/>
  <c r="R178" s="1"/>
  <c r="J177"/>
  <c r="I177"/>
  <c r="P177" s="1"/>
  <c r="R177" s="1"/>
  <c r="J176"/>
  <c r="I176"/>
  <c r="P176" s="1"/>
  <c r="R176" s="1"/>
  <c r="K175"/>
  <c r="L175" s="1"/>
  <c r="J174"/>
  <c r="I174"/>
  <c r="P174" s="1"/>
  <c r="R174" s="1"/>
  <c r="J173"/>
  <c r="I173"/>
  <c r="P173" s="1"/>
  <c r="R173" s="1"/>
  <c r="J172"/>
  <c r="I172"/>
  <c r="P172" s="1"/>
  <c r="R172" s="1"/>
  <c r="J171"/>
  <c r="I171"/>
  <c r="P171" s="1"/>
  <c r="R171" s="1"/>
  <c r="J170"/>
  <c r="I170"/>
  <c r="P170" s="1"/>
  <c r="R170" s="1"/>
  <c r="J169"/>
  <c r="I169"/>
  <c r="P169" s="1"/>
  <c r="R169" s="1"/>
  <c r="J168"/>
  <c r="I168"/>
  <c r="P168" s="1"/>
  <c r="R168" s="1"/>
  <c r="J167"/>
  <c r="I167"/>
  <c r="P167" s="1"/>
  <c r="R167" s="1"/>
  <c r="J166"/>
  <c r="I166"/>
  <c r="P166" s="1"/>
  <c r="R166" s="1"/>
  <c r="J165"/>
  <c r="J164"/>
  <c r="I164"/>
  <c r="P164" s="1"/>
  <c r="R164" s="1"/>
  <c r="J163"/>
  <c r="I163"/>
  <c r="P163" s="1"/>
  <c r="R163" s="1"/>
  <c r="J162"/>
  <c r="I162"/>
  <c r="P162" s="1"/>
  <c r="R162" s="1"/>
  <c r="J161"/>
  <c r="I161"/>
  <c r="P161" s="1"/>
  <c r="R161" s="1"/>
  <c r="J160"/>
  <c r="I160"/>
  <c r="P160" s="1"/>
  <c r="R160" s="1"/>
  <c r="P159"/>
  <c r="R159" s="1"/>
  <c r="K159"/>
  <c r="L159" s="1"/>
  <c r="O159" s="1"/>
  <c r="J158"/>
  <c r="I158"/>
  <c r="P158" s="1"/>
  <c r="R158" s="1"/>
  <c r="J157"/>
  <c r="I157"/>
  <c r="J156"/>
  <c r="I156"/>
  <c r="J155"/>
  <c r="I155"/>
  <c r="J154"/>
  <c r="I154"/>
  <c r="P154" s="1"/>
  <c r="R154" s="1"/>
  <c r="J153"/>
  <c r="I153"/>
  <c r="G152"/>
  <c r="I152" s="1"/>
  <c r="G151"/>
  <c r="I151" s="1"/>
  <c r="J150"/>
  <c r="I150"/>
  <c r="P150" s="1"/>
  <c r="R150" s="1"/>
  <c r="G149"/>
  <c r="I149" s="1"/>
  <c r="P149" s="1"/>
  <c r="R149" s="1"/>
  <c r="J148"/>
  <c r="Q113"/>
  <c r="N113"/>
  <c r="H113"/>
  <c r="F113"/>
  <c r="E113"/>
  <c r="O112"/>
  <c r="P111"/>
  <c r="R111" s="1"/>
  <c r="K111"/>
  <c r="L111" s="1"/>
  <c r="O111" s="1"/>
  <c r="P110"/>
  <c r="R110" s="1"/>
  <c r="K110"/>
  <c r="L110" s="1"/>
  <c r="O110" s="1"/>
  <c r="P109"/>
  <c r="R109" s="1"/>
  <c r="J109"/>
  <c r="K109" s="1"/>
  <c r="L109" s="1"/>
  <c r="O109" s="1"/>
  <c r="J108"/>
  <c r="I108"/>
  <c r="P108" s="1"/>
  <c r="R108" s="1"/>
  <c r="J107"/>
  <c r="I107"/>
  <c r="P107" s="1"/>
  <c r="R107" s="1"/>
  <c r="J106"/>
  <c r="I106"/>
  <c r="J105"/>
  <c r="I105"/>
  <c r="J104"/>
  <c r="I104"/>
  <c r="P104" s="1"/>
  <c r="R104" s="1"/>
  <c r="K103"/>
  <c r="L103" s="1"/>
  <c r="J102"/>
  <c r="I102"/>
  <c r="P102" s="1"/>
  <c r="R102" s="1"/>
  <c r="J101"/>
  <c r="I101"/>
  <c r="P101" s="1"/>
  <c r="R101" s="1"/>
  <c r="J100"/>
  <c r="I100"/>
  <c r="P100" s="1"/>
  <c r="R100" s="1"/>
  <c r="J99"/>
  <c r="I99"/>
  <c r="P99" s="1"/>
  <c r="R99" s="1"/>
  <c r="J98"/>
  <c r="I98"/>
  <c r="P98" s="1"/>
  <c r="R98" s="1"/>
  <c r="J97"/>
  <c r="I97"/>
  <c r="P97" s="1"/>
  <c r="R97" s="1"/>
  <c r="J96"/>
  <c r="I96"/>
  <c r="P96" s="1"/>
  <c r="R96" s="1"/>
  <c r="J95"/>
  <c r="I95"/>
  <c r="P95" s="1"/>
  <c r="R95" s="1"/>
  <c r="J94"/>
  <c r="I94"/>
  <c r="P94" s="1"/>
  <c r="R94" s="1"/>
  <c r="J93"/>
  <c r="I93"/>
  <c r="P93" s="1"/>
  <c r="R93" s="1"/>
  <c r="J92"/>
  <c r="I92"/>
  <c r="P92" s="1"/>
  <c r="R92" s="1"/>
  <c r="J91"/>
  <c r="I91"/>
  <c r="P91" s="1"/>
  <c r="R91" s="1"/>
  <c r="J90"/>
  <c r="I90"/>
  <c r="P90" s="1"/>
  <c r="R90" s="1"/>
  <c r="J89"/>
  <c r="I89"/>
  <c r="P89" s="1"/>
  <c r="R89" s="1"/>
  <c r="J88"/>
  <c r="I88"/>
  <c r="P88" s="1"/>
  <c r="R88" s="1"/>
  <c r="P87"/>
  <c r="R87" s="1"/>
  <c r="K87"/>
  <c r="L87" s="1"/>
  <c r="O87" s="1"/>
  <c r="J86"/>
  <c r="I86"/>
  <c r="J85"/>
  <c r="I85"/>
  <c r="J84"/>
  <c r="I84"/>
  <c r="P84" s="1"/>
  <c r="R84" s="1"/>
  <c r="J83"/>
  <c r="I83"/>
  <c r="K83" s="1"/>
  <c r="L83" s="1"/>
  <c r="O83" s="1"/>
  <c r="J82"/>
  <c r="I82"/>
  <c r="J81"/>
  <c r="I81"/>
  <c r="G80"/>
  <c r="I80" s="1"/>
  <c r="G79"/>
  <c r="I79" s="1"/>
  <c r="J78"/>
  <c r="I78"/>
  <c r="P78" s="1"/>
  <c r="R78" s="1"/>
  <c r="G77"/>
  <c r="J76"/>
  <c r="S725" l="1"/>
  <c r="C572" i="12"/>
  <c r="O568"/>
  <c r="S531"/>
  <c r="S568" s="1"/>
  <c r="O596"/>
  <c r="L632"/>
  <c r="V363" i="10"/>
  <c r="O625"/>
  <c r="L658"/>
  <c r="K153"/>
  <c r="L153" s="1"/>
  <c r="O153" s="1"/>
  <c r="K222"/>
  <c r="L222" s="1"/>
  <c r="O222" s="1"/>
  <c r="S222" s="1"/>
  <c r="K249"/>
  <c r="L249" s="1"/>
  <c r="O249" s="1"/>
  <c r="S249" s="1"/>
  <c r="O557"/>
  <c r="L593"/>
  <c r="S420"/>
  <c r="S453" s="1"/>
  <c r="O453"/>
  <c r="S409" i="12"/>
  <c r="S443" s="1"/>
  <c r="O443"/>
  <c r="S279"/>
  <c r="S316" s="1"/>
  <c r="O316"/>
  <c r="O383"/>
  <c r="S346"/>
  <c r="S383" s="1"/>
  <c r="O250"/>
  <c r="S213"/>
  <c r="S250" s="1"/>
  <c r="S350" i="10"/>
  <c r="S387" s="1"/>
  <c r="O387"/>
  <c r="J149"/>
  <c r="K149" s="1"/>
  <c r="L149" s="1"/>
  <c r="O149" s="1"/>
  <c r="S149" s="1"/>
  <c r="P153"/>
  <c r="R153" s="1"/>
  <c r="K155"/>
  <c r="L155" s="1"/>
  <c r="O155" s="1"/>
  <c r="K157"/>
  <c r="L157" s="1"/>
  <c r="O157" s="1"/>
  <c r="K154"/>
  <c r="L154" s="1"/>
  <c r="O154" s="1"/>
  <c r="S154" s="1"/>
  <c r="K176"/>
  <c r="L176" s="1"/>
  <c r="O176" s="1"/>
  <c r="S176" s="1"/>
  <c r="L286"/>
  <c r="K320"/>
  <c r="S283"/>
  <c r="R310"/>
  <c r="S310" s="1"/>
  <c r="P320"/>
  <c r="P113" i="12"/>
  <c r="S103"/>
  <c r="O152"/>
  <c r="O113"/>
  <c r="S76"/>
  <c r="S113" s="1"/>
  <c r="E151" i="11"/>
  <c r="E150" s="1"/>
  <c r="K180" i="10"/>
  <c r="L180" s="1"/>
  <c r="O180" s="1"/>
  <c r="S180" s="1"/>
  <c r="K247"/>
  <c r="L247" s="1"/>
  <c r="O247" s="1"/>
  <c r="K223"/>
  <c r="L223" s="1"/>
  <c r="O223" s="1"/>
  <c r="K225"/>
  <c r="L225" s="1"/>
  <c r="O225" s="1"/>
  <c r="S225" s="1"/>
  <c r="K226"/>
  <c r="L226" s="1"/>
  <c r="O226" s="1"/>
  <c r="K217"/>
  <c r="L217" s="1"/>
  <c r="K86"/>
  <c r="L86" s="1"/>
  <c r="O86" s="1"/>
  <c r="K105"/>
  <c r="L105" s="1"/>
  <c r="O105" s="1"/>
  <c r="K179"/>
  <c r="L179" s="1"/>
  <c r="O179" s="1"/>
  <c r="S179" s="1"/>
  <c r="K245"/>
  <c r="L245" s="1"/>
  <c r="O245" s="1"/>
  <c r="S245" s="1"/>
  <c r="G150" i="11"/>
  <c r="K227" i="10"/>
  <c r="L227" s="1"/>
  <c r="O227" s="1"/>
  <c r="S226"/>
  <c r="S247"/>
  <c r="K81"/>
  <c r="L81" s="1"/>
  <c r="O81" s="1"/>
  <c r="P157"/>
  <c r="R157" s="1"/>
  <c r="P224"/>
  <c r="R224" s="1"/>
  <c r="S224" s="1"/>
  <c r="K248"/>
  <c r="L248" s="1"/>
  <c r="O248" s="1"/>
  <c r="K85"/>
  <c r="L85" s="1"/>
  <c r="O85" s="1"/>
  <c r="S109"/>
  <c r="K156"/>
  <c r="L156" s="1"/>
  <c r="O156" s="1"/>
  <c r="K158"/>
  <c r="L158" s="1"/>
  <c r="O158" s="1"/>
  <c r="S158" s="1"/>
  <c r="P217"/>
  <c r="R217" s="1"/>
  <c r="P223"/>
  <c r="R223" s="1"/>
  <c r="P227"/>
  <c r="R227" s="1"/>
  <c r="S250"/>
  <c r="P80"/>
  <c r="R80" s="1"/>
  <c r="P218"/>
  <c r="R218" s="1"/>
  <c r="P83"/>
  <c r="R83" s="1"/>
  <c r="S83" s="1"/>
  <c r="J80"/>
  <c r="K80" s="1"/>
  <c r="L80" s="1"/>
  <c r="O80" s="1"/>
  <c r="K82"/>
  <c r="L82" s="1"/>
  <c r="O82" s="1"/>
  <c r="K84"/>
  <c r="L84" s="1"/>
  <c r="O84" s="1"/>
  <c r="S84" s="1"/>
  <c r="S110"/>
  <c r="K177"/>
  <c r="L177" s="1"/>
  <c r="O177" s="1"/>
  <c r="S177" s="1"/>
  <c r="J221"/>
  <c r="K221" s="1"/>
  <c r="L221" s="1"/>
  <c r="O221" s="1"/>
  <c r="K246"/>
  <c r="L246" s="1"/>
  <c r="O246" s="1"/>
  <c r="S246" s="1"/>
  <c r="P248"/>
  <c r="R248" s="1"/>
  <c r="S252"/>
  <c r="P221"/>
  <c r="R221" s="1"/>
  <c r="M244"/>
  <c r="O244" s="1"/>
  <c r="S251"/>
  <c r="S228"/>
  <c r="G254"/>
  <c r="K219"/>
  <c r="L219" s="1"/>
  <c r="O219" s="1"/>
  <c r="S219" s="1"/>
  <c r="J220"/>
  <c r="K220" s="1"/>
  <c r="L220" s="1"/>
  <c r="O220" s="1"/>
  <c r="P220"/>
  <c r="R220" s="1"/>
  <c r="K229"/>
  <c r="L229" s="1"/>
  <c r="O229" s="1"/>
  <c r="S229" s="1"/>
  <c r="K230"/>
  <c r="L230" s="1"/>
  <c r="O230" s="1"/>
  <c r="S230" s="1"/>
  <c r="K231"/>
  <c r="L231" s="1"/>
  <c r="O231" s="1"/>
  <c r="S231" s="1"/>
  <c r="K232"/>
  <c r="L232" s="1"/>
  <c r="O232" s="1"/>
  <c r="S232" s="1"/>
  <c r="K233"/>
  <c r="L233" s="1"/>
  <c r="O233" s="1"/>
  <c r="S233" s="1"/>
  <c r="K234"/>
  <c r="L234" s="1"/>
  <c r="O234" s="1"/>
  <c r="S234" s="1"/>
  <c r="K235"/>
  <c r="L235" s="1"/>
  <c r="O235" s="1"/>
  <c r="S235" s="1"/>
  <c r="K236"/>
  <c r="L236" s="1"/>
  <c r="O236" s="1"/>
  <c r="S236" s="1"/>
  <c r="K237"/>
  <c r="L237" s="1"/>
  <c r="O237" s="1"/>
  <c r="S237" s="1"/>
  <c r="K238"/>
  <c r="L238" s="1"/>
  <c r="O238" s="1"/>
  <c r="S238" s="1"/>
  <c r="K239"/>
  <c r="L239" s="1"/>
  <c r="O239" s="1"/>
  <c r="S239" s="1"/>
  <c r="K240"/>
  <c r="L240" s="1"/>
  <c r="O240" s="1"/>
  <c r="S240" s="1"/>
  <c r="K241"/>
  <c r="L241" s="1"/>
  <c r="O241" s="1"/>
  <c r="S241" s="1"/>
  <c r="K242"/>
  <c r="L242" s="1"/>
  <c r="O242" s="1"/>
  <c r="S242" s="1"/>
  <c r="K243"/>
  <c r="L243" s="1"/>
  <c r="O243" s="1"/>
  <c r="S243" s="1"/>
  <c r="I254"/>
  <c r="J218"/>
  <c r="K218" s="1"/>
  <c r="G80" i="11"/>
  <c r="E81"/>
  <c r="E80" s="1"/>
  <c r="P82" i="10"/>
  <c r="R82" s="1"/>
  <c r="P86"/>
  <c r="R86" s="1"/>
  <c r="S87"/>
  <c r="K106"/>
  <c r="L106" s="1"/>
  <c r="O106" s="1"/>
  <c r="P156"/>
  <c r="R156" s="1"/>
  <c r="P81"/>
  <c r="R81" s="1"/>
  <c r="P85"/>
  <c r="R85" s="1"/>
  <c r="P105"/>
  <c r="R105" s="1"/>
  <c r="K107"/>
  <c r="L107" s="1"/>
  <c r="O107" s="1"/>
  <c r="S107" s="1"/>
  <c r="P155"/>
  <c r="R155" s="1"/>
  <c r="S181"/>
  <c r="K76"/>
  <c r="L76" s="1"/>
  <c r="I77"/>
  <c r="P77" s="1"/>
  <c r="R77" s="1"/>
  <c r="K104"/>
  <c r="L104" s="1"/>
  <c r="O104" s="1"/>
  <c r="S104" s="1"/>
  <c r="P106"/>
  <c r="R106" s="1"/>
  <c r="K108"/>
  <c r="L108" s="1"/>
  <c r="O108" s="1"/>
  <c r="S108" s="1"/>
  <c r="S111"/>
  <c r="P112"/>
  <c r="R112" s="1"/>
  <c r="S112" s="1"/>
  <c r="K148"/>
  <c r="L148" s="1"/>
  <c r="K178"/>
  <c r="L178" s="1"/>
  <c r="O178" s="1"/>
  <c r="S178" s="1"/>
  <c r="S183"/>
  <c r="M175"/>
  <c r="O175" s="1"/>
  <c r="S159"/>
  <c r="I185"/>
  <c r="S182"/>
  <c r="G185"/>
  <c r="J152"/>
  <c r="K152" s="1"/>
  <c r="L152" s="1"/>
  <c r="O152" s="1"/>
  <c r="P152"/>
  <c r="R152" s="1"/>
  <c r="K150"/>
  <c r="L150" s="1"/>
  <c r="O150" s="1"/>
  <c r="S150" s="1"/>
  <c r="J151"/>
  <c r="K151" s="1"/>
  <c r="L151" s="1"/>
  <c r="O151" s="1"/>
  <c r="P151"/>
  <c r="R151" s="1"/>
  <c r="K160"/>
  <c r="L160" s="1"/>
  <c r="O160" s="1"/>
  <c r="S160" s="1"/>
  <c r="K161"/>
  <c r="L161" s="1"/>
  <c r="O161" s="1"/>
  <c r="S161" s="1"/>
  <c r="K162"/>
  <c r="L162" s="1"/>
  <c r="O162" s="1"/>
  <c r="S162" s="1"/>
  <c r="K163"/>
  <c r="L163" s="1"/>
  <c r="O163" s="1"/>
  <c r="S163" s="1"/>
  <c r="K164"/>
  <c r="L164" s="1"/>
  <c r="O164" s="1"/>
  <c r="S164" s="1"/>
  <c r="K165"/>
  <c r="L165" s="1"/>
  <c r="O165" s="1"/>
  <c r="S165" s="1"/>
  <c r="K166"/>
  <c r="L166" s="1"/>
  <c r="O166" s="1"/>
  <c r="S166" s="1"/>
  <c r="K167"/>
  <c r="L167" s="1"/>
  <c r="O167" s="1"/>
  <c r="S167" s="1"/>
  <c r="K168"/>
  <c r="L168" s="1"/>
  <c r="O168" s="1"/>
  <c r="S168" s="1"/>
  <c r="K169"/>
  <c r="L169" s="1"/>
  <c r="O169" s="1"/>
  <c r="S169" s="1"/>
  <c r="K170"/>
  <c r="L170" s="1"/>
  <c r="O170" s="1"/>
  <c r="S170" s="1"/>
  <c r="K171"/>
  <c r="L171" s="1"/>
  <c r="O171" s="1"/>
  <c r="S171" s="1"/>
  <c r="K172"/>
  <c r="L172" s="1"/>
  <c r="O172" s="1"/>
  <c r="S172" s="1"/>
  <c r="K173"/>
  <c r="L173" s="1"/>
  <c r="O173" s="1"/>
  <c r="S173" s="1"/>
  <c r="K174"/>
  <c r="L174" s="1"/>
  <c r="O174" s="1"/>
  <c r="S174" s="1"/>
  <c r="R148"/>
  <c r="M103"/>
  <c r="O103" s="1"/>
  <c r="P79"/>
  <c r="R79" s="1"/>
  <c r="K88"/>
  <c r="L88" s="1"/>
  <c r="O88" s="1"/>
  <c r="S88" s="1"/>
  <c r="K89"/>
  <c r="L89" s="1"/>
  <c r="O89" s="1"/>
  <c r="S89" s="1"/>
  <c r="K90"/>
  <c r="L90" s="1"/>
  <c r="O90" s="1"/>
  <c r="S90" s="1"/>
  <c r="K91"/>
  <c r="L91" s="1"/>
  <c r="O91" s="1"/>
  <c r="S91" s="1"/>
  <c r="K92"/>
  <c r="L92" s="1"/>
  <c r="O92" s="1"/>
  <c r="S92" s="1"/>
  <c r="K93"/>
  <c r="L93" s="1"/>
  <c r="O93" s="1"/>
  <c r="S93" s="1"/>
  <c r="K94"/>
  <c r="L94" s="1"/>
  <c r="O94" s="1"/>
  <c r="S94" s="1"/>
  <c r="K95"/>
  <c r="L95" s="1"/>
  <c r="O95" s="1"/>
  <c r="S95" s="1"/>
  <c r="K96"/>
  <c r="L96" s="1"/>
  <c r="O96" s="1"/>
  <c r="S96" s="1"/>
  <c r="K97"/>
  <c r="L97" s="1"/>
  <c r="O97" s="1"/>
  <c r="S97" s="1"/>
  <c r="K98"/>
  <c r="L98" s="1"/>
  <c r="O98" s="1"/>
  <c r="S98" s="1"/>
  <c r="K99"/>
  <c r="L99" s="1"/>
  <c r="O99" s="1"/>
  <c r="S99" s="1"/>
  <c r="K100"/>
  <c r="L100" s="1"/>
  <c r="O100" s="1"/>
  <c r="S100" s="1"/>
  <c r="K101"/>
  <c r="L101" s="1"/>
  <c r="O101" s="1"/>
  <c r="S101" s="1"/>
  <c r="K102"/>
  <c r="L102" s="1"/>
  <c r="O102" s="1"/>
  <c r="S102" s="1"/>
  <c r="G113"/>
  <c r="K78"/>
  <c r="L78" s="1"/>
  <c r="O78" s="1"/>
  <c r="S78" s="1"/>
  <c r="J79"/>
  <c r="K79" s="1"/>
  <c r="L79" s="1"/>
  <c r="O79" s="1"/>
  <c r="R76"/>
  <c r="J77"/>
  <c r="I41"/>
  <c r="I32"/>
  <c r="I30"/>
  <c r="I12"/>
  <c r="C56" i="11"/>
  <c r="E50"/>
  <c r="E49" s="1"/>
  <c r="G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J12"/>
  <c r="J11" s="1"/>
  <c r="I12"/>
  <c r="I11" s="1"/>
  <c r="H12"/>
  <c r="H11" s="1"/>
  <c r="G12"/>
  <c r="F12"/>
  <c r="F11" s="1"/>
  <c r="S153" i="10" l="1"/>
  <c r="S85"/>
  <c r="S596" i="12"/>
  <c r="S632" s="1"/>
  <c r="O632"/>
  <c r="J185" i="10"/>
  <c r="S80"/>
  <c r="S155"/>
  <c r="S625"/>
  <c r="O658"/>
  <c r="S157"/>
  <c r="S557"/>
  <c r="S593" s="1"/>
  <c r="O593"/>
  <c r="S105"/>
  <c r="O286"/>
  <c r="L320"/>
  <c r="R320"/>
  <c r="S152" i="12"/>
  <c r="S185" s="1"/>
  <c r="O185"/>
  <c r="S220" i="10"/>
  <c r="S227"/>
  <c r="S223"/>
  <c r="J113"/>
  <c r="I113"/>
  <c r="S156"/>
  <c r="S86"/>
  <c r="S82"/>
  <c r="S248"/>
  <c r="S151"/>
  <c r="S79"/>
  <c r="S81"/>
  <c r="L218"/>
  <c r="O218" s="1"/>
  <c r="S218" s="1"/>
  <c r="K254"/>
  <c r="P244"/>
  <c r="R244" s="1"/>
  <c r="R254" s="1"/>
  <c r="M254"/>
  <c r="L254"/>
  <c r="O217"/>
  <c r="J254"/>
  <c r="S221"/>
  <c r="G11" i="11"/>
  <c r="S106" i="10"/>
  <c r="S152"/>
  <c r="L185"/>
  <c r="O148"/>
  <c r="S148" s="1"/>
  <c r="V147" s="1"/>
  <c r="M185"/>
  <c r="P175"/>
  <c r="R175" s="1"/>
  <c r="S175" s="1"/>
  <c r="K185"/>
  <c r="P103"/>
  <c r="M113"/>
  <c r="O76"/>
  <c r="K77"/>
  <c r="E12" i="11"/>
  <c r="E11" s="1"/>
  <c r="C54" s="1"/>
  <c r="C123" s="1"/>
  <c r="C126" s="1"/>
  <c r="C193" s="1"/>
  <c r="C196" s="1"/>
  <c r="C353" s="1"/>
  <c r="C356" s="1"/>
  <c r="C423" s="1"/>
  <c r="C426" s="1"/>
  <c r="C494" s="1"/>
  <c r="C497" s="1"/>
  <c r="C566" s="1"/>
  <c r="C569" s="1"/>
  <c r="C638" s="1"/>
  <c r="C641" s="1"/>
  <c r="C743" s="1"/>
  <c r="C746" s="1"/>
  <c r="S658" i="10" l="1"/>
  <c r="S286"/>
  <c r="S320" s="1"/>
  <c r="O320"/>
  <c r="S244"/>
  <c r="R185"/>
  <c r="P185"/>
  <c r="O254"/>
  <c r="S217"/>
  <c r="S254" s="1"/>
  <c r="P254"/>
  <c r="S185"/>
  <c r="O185"/>
  <c r="L77"/>
  <c r="K113"/>
  <c r="R103"/>
  <c r="P113"/>
  <c r="S76"/>
  <c r="F47"/>
  <c r="H47"/>
  <c r="I10"/>
  <c r="P10" s="1"/>
  <c r="R10" s="1"/>
  <c r="Q47"/>
  <c r="N47"/>
  <c r="E47"/>
  <c r="O46"/>
  <c r="P46" s="1"/>
  <c r="R46" s="1"/>
  <c r="P45"/>
  <c r="R45" s="1"/>
  <c r="K45"/>
  <c r="L45" s="1"/>
  <c r="O45" s="1"/>
  <c r="P44"/>
  <c r="R44" s="1"/>
  <c r="K44"/>
  <c r="L44" s="1"/>
  <c r="O44" s="1"/>
  <c r="P43"/>
  <c r="R43" s="1"/>
  <c r="J43"/>
  <c r="K43" s="1"/>
  <c r="L43" s="1"/>
  <c r="O43" s="1"/>
  <c r="J42"/>
  <c r="I42"/>
  <c r="J41"/>
  <c r="J40"/>
  <c r="I40"/>
  <c r="J39"/>
  <c r="I39"/>
  <c r="J38"/>
  <c r="I38"/>
  <c r="K37"/>
  <c r="L37" s="1"/>
  <c r="J36"/>
  <c r="I36"/>
  <c r="J35"/>
  <c r="I35"/>
  <c r="P35" s="1"/>
  <c r="R35" s="1"/>
  <c r="J34"/>
  <c r="I34"/>
  <c r="J33"/>
  <c r="I33"/>
  <c r="J32"/>
  <c r="J31"/>
  <c r="I31"/>
  <c r="P31" s="1"/>
  <c r="R31" s="1"/>
  <c r="J30"/>
  <c r="J29"/>
  <c r="I29"/>
  <c r="J28"/>
  <c r="I28"/>
  <c r="J27"/>
  <c r="I27"/>
  <c r="P27" s="1"/>
  <c r="R27" s="1"/>
  <c r="J26"/>
  <c r="I26"/>
  <c r="P26" s="1"/>
  <c r="R26" s="1"/>
  <c r="J25"/>
  <c r="I25"/>
  <c r="J24"/>
  <c r="I24"/>
  <c r="J23"/>
  <c r="I23"/>
  <c r="P23" s="1"/>
  <c r="R23" s="1"/>
  <c r="J22"/>
  <c r="I22"/>
  <c r="P21"/>
  <c r="R21" s="1"/>
  <c r="K21"/>
  <c r="L21" s="1"/>
  <c r="O21" s="1"/>
  <c r="J20"/>
  <c r="I20"/>
  <c r="J19"/>
  <c r="I19"/>
  <c r="J18"/>
  <c r="I18"/>
  <c r="J17"/>
  <c r="I17"/>
  <c r="J16"/>
  <c r="I16"/>
  <c r="J15"/>
  <c r="I15"/>
  <c r="G14"/>
  <c r="I14" s="1"/>
  <c r="G13"/>
  <c r="I13" s="1"/>
  <c r="J12"/>
  <c r="G11"/>
  <c r="I11" s="1"/>
  <c r="J10"/>
  <c r="V256" l="1"/>
  <c r="M37"/>
  <c r="O37" s="1"/>
  <c r="O77"/>
  <c r="L113"/>
  <c r="S103"/>
  <c r="R113"/>
  <c r="K22"/>
  <c r="L22" s="1"/>
  <c r="O22" s="1"/>
  <c r="K36"/>
  <c r="L36" s="1"/>
  <c r="O36" s="1"/>
  <c r="K30"/>
  <c r="L30" s="1"/>
  <c r="O30" s="1"/>
  <c r="K25"/>
  <c r="L25" s="1"/>
  <c r="O25" s="1"/>
  <c r="K29"/>
  <c r="L29" s="1"/>
  <c r="O29" s="1"/>
  <c r="J11"/>
  <c r="K11" s="1"/>
  <c r="L11" s="1"/>
  <c r="O11" s="1"/>
  <c r="K27"/>
  <c r="L27" s="1"/>
  <c r="O27" s="1"/>
  <c r="S27" s="1"/>
  <c r="P30"/>
  <c r="R30" s="1"/>
  <c r="K32"/>
  <c r="L32" s="1"/>
  <c r="O32" s="1"/>
  <c r="K34"/>
  <c r="L34" s="1"/>
  <c r="O34" s="1"/>
  <c r="K10"/>
  <c r="L10" s="1"/>
  <c r="O10" s="1"/>
  <c r="K31"/>
  <c r="L31" s="1"/>
  <c r="O31" s="1"/>
  <c r="S31" s="1"/>
  <c r="K12"/>
  <c r="L12" s="1"/>
  <c r="O12" s="1"/>
  <c r="K26"/>
  <c r="L26" s="1"/>
  <c r="O26" s="1"/>
  <c r="S26" s="1"/>
  <c r="P34"/>
  <c r="R34" s="1"/>
  <c r="K16"/>
  <c r="L16" s="1"/>
  <c r="O16" s="1"/>
  <c r="K18"/>
  <c r="L18" s="1"/>
  <c r="O18" s="1"/>
  <c r="K20"/>
  <c r="L20" s="1"/>
  <c r="O20" s="1"/>
  <c r="P22"/>
  <c r="R22" s="1"/>
  <c r="K24"/>
  <c r="L24" s="1"/>
  <c r="O24" s="1"/>
  <c r="K33"/>
  <c r="L33" s="1"/>
  <c r="O33" s="1"/>
  <c r="K35"/>
  <c r="L35" s="1"/>
  <c r="O35" s="1"/>
  <c r="S35" s="1"/>
  <c r="K23"/>
  <c r="L23" s="1"/>
  <c r="O23" s="1"/>
  <c r="S23" s="1"/>
  <c r="K28"/>
  <c r="L28" s="1"/>
  <c r="O28" s="1"/>
  <c r="P25"/>
  <c r="R25" s="1"/>
  <c r="K41"/>
  <c r="L41" s="1"/>
  <c r="O41" s="1"/>
  <c r="S43"/>
  <c r="S45"/>
  <c r="P13"/>
  <c r="R13" s="1"/>
  <c r="P29"/>
  <c r="R29" s="1"/>
  <c r="P33"/>
  <c r="R33" s="1"/>
  <c r="K39"/>
  <c r="L39" s="1"/>
  <c r="O39" s="1"/>
  <c r="P12"/>
  <c r="R12" s="1"/>
  <c r="J13"/>
  <c r="K13" s="1"/>
  <c r="L13" s="1"/>
  <c r="O13" s="1"/>
  <c r="K15"/>
  <c r="L15" s="1"/>
  <c r="O15" s="1"/>
  <c r="K17"/>
  <c r="L17" s="1"/>
  <c r="O17" s="1"/>
  <c r="K19"/>
  <c r="L19" s="1"/>
  <c r="O19" s="1"/>
  <c r="S21"/>
  <c r="P24"/>
  <c r="R24" s="1"/>
  <c r="P28"/>
  <c r="R28" s="1"/>
  <c r="P32"/>
  <c r="R32" s="1"/>
  <c r="P36"/>
  <c r="R36" s="1"/>
  <c r="S44"/>
  <c r="K38"/>
  <c r="L38" s="1"/>
  <c r="O38" s="1"/>
  <c r="K40"/>
  <c r="L40" s="1"/>
  <c r="O40" s="1"/>
  <c r="K42"/>
  <c r="L42" s="1"/>
  <c r="O42" s="1"/>
  <c r="P11"/>
  <c r="R11" s="1"/>
  <c r="I47"/>
  <c r="S46"/>
  <c r="J14"/>
  <c r="P14"/>
  <c r="R14" s="1"/>
  <c r="P15"/>
  <c r="R15" s="1"/>
  <c r="P16"/>
  <c r="R16" s="1"/>
  <c r="P17"/>
  <c r="R17" s="1"/>
  <c r="P18"/>
  <c r="R18" s="1"/>
  <c r="P19"/>
  <c r="R19" s="1"/>
  <c r="P20"/>
  <c r="R20" s="1"/>
  <c r="P38"/>
  <c r="R38" s="1"/>
  <c r="P39"/>
  <c r="R39" s="1"/>
  <c r="P40"/>
  <c r="R40" s="1"/>
  <c r="P41"/>
  <c r="R41" s="1"/>
  <c r="P42"/>
  <c r="R42" s="1"/>
  <c r="G47"/>
  <c r="S22" l="1"/>
  <c r="S29"/>
  <c r="M47"/>
  <c r="P37"/>
  <c r="R37" s="1"/>
  <c r="S37" s="1"/>
  <c r="S25"/>
  <c r="S77"/>
  <c r="S113" s="1"/>
  <c r="O113"/>
  <c r="S12"/>
  <c r="S39"/>
  <c r="S18"/>
  <c r="S41"/>
  <c r="S34"/>
  <c r="S32"/>
  <c r="S36"/>
  <c r="S42"/>
  <c r="J47"/>
  <c r="S19"/>
  <c r="S20"/>
  <c r="S28"/>
  <c r="S24"/>
  <c r="S30"/>
  <c r="S15"/>
  <c r="S33"/>
  <c r="S16"/>
  <c r="S40"/>
  <c r="S38"/>
  <c r="S17"/>
  <c r="S13"/>
  <c r="S10"/>
  <c r="S11"/>
  <c r="K14"/>
  <c r="L14" s="1"/>
  <c r="O14" s="1"/>
  <c r="S14" s="1"/>
  <c r="P47" l="1"/>
  <c r="R47"/>
  <c r="S47"/>
  <c r="K47"/>
  <c r="O47"/>
  <c r="L47"/>
  <c r="V45" l="1"/>
</calcChain>
</file>

<file path=xl/sharedStrings.xml><?xml version="1.0" encoding="utf-8"?>
<sst xmlns="http://schemas.openxmlformats.org/spreadsheetml/2006/main" count="5319" uniqueCount="367">
  <si>
    <t>STT</t>
  </si>
  <si>
    <t>Mã số CBCC, viên chức</t>
  </si>
  <si>
    <t>Họ và Tên</t>
  </si>
  <si>
    <t>Cấp bậc chức vụ</t>
  </si>
  <si>
    <t>Hệ số lương</t>
  </si>
  <si>
    <t>Hệ số PC chức vụ</t>
  </si>
  <si>
    <t>Hệ số phụ cấp khác</t>
  </si>
  <si>
    <t>Cộng hệ số</t>
  </si>
  <si>
    <t>Thành Tiền</t>
  </si>
  <si>
    <t>Nghỉ việc không được hưởng lương</t>
  </si>
  <si>
    <t>BHXH</t>
  </si>
  <si>
    <t>BHXH Trả thay lương</t>
  </si>
  <si>
    <t>Tổng cộng tiền lương và BHXH phải trả</t>
  </si>
  <si>
    <t>Các Khoản trừ vào lương</t>
  </si>
  <si>
    <t>Cộng</t>
  </si>
  <si>
    <t>Tổng tiền lương và BHXH còn được nhận</t>
  </si>
  <si>
    <t>A</t>
  </si>
  <si>
    <t>B</t>
  </si>
  <si>
    <t>C</t>
  </si>
  <si>
    <t>D</t>
  </si>
  <si>
    <t>Lương hệ số</t>
  </si>
  <si>
    <t>V.07.04.11</t>
  </si>
  <si>
    <t>V.07.04.12</t>
  </si>
  <si>
    <t>17a170</t>
  </si>
  <si>
    <t>Thâm niên</t>
  </si>
  <si>
    <t>Ưu đãi nghề</t>
  </si>
  <si>
    <t>Vượt khung</t>
  </si>
  <si>
    <t>GV</t>
  </si>
  <si>
    <t>Lê Thị Kim Phụng</t>
  </si>
  <si>
    <t>TTCM</t>
  </si>
  <si>
    <t>Lương Văn Thành</t>
  </si>
  <si>
    <t>Ngô Thị Kim Hương</t>
  </si>
  <si>
    <t>Phan Thị Ngọc Bích</t>
  </si>
  <si>
    <t>Trần Thị Nhơn</t>
  </si>
  <si>
    <t>Trần Thị Hải Sâm</t>
  </si>
  <si>
    <t>KT-TT</t>
  </si>
  <si>
    <t>Võ Văn Thuận</t>
  </si>
  <si>
    <t>Nguyễn Thị Mỹ Liêm</t>
  </si>
  <si>
    <t>Lê Thị Khánh Đoan</t>
  </si>
  <si>
    <t>Đỗ Thị Thu</t>
  </si>
  <si>
    <t>Bùi Thị Tâm</t>
  </si>
  <si>
    <t>Dương Xuân Thịnh</t>
  </si>
  <si>
    <t>Nguyễn Minh Đức</t>
  </si>
  <si>
    <t>Trần Thị Phước Sương</t>
  </si>
  <si>
    <t>Nguyễn Quý Đôn</t>
  </si>
  <si>
    <t>NV</t>
  </si>
  <si>
    <t>Nguyễn Đại Phúc Long</t>
  </si>
  <si>
    <t>Trần Hinh</t>
  </si>
  <si>
    <t>Nguyễn Văn Phước</t>
  </si>
  <si>
    <t>Đặng Thị Nhớ</t>
  </si>
  <si>
    <t>Hà Thị Dỷ</t>
  </si>
  <si>
    <t>Phan Văn Quốc</t>
  </si>
  <si>
    <t>13.096</t>
  </si>
  <si>
    <t>02.015</t>
  </si>
  <si>
    <t>01.005</t>
  </si>
  <si>
    <t>Đơn vị: TRƯỜNG THCS NGUYỄN KHOA THUYÊN</t>
  </si>
  <si>
    <t>Mã đơn vị SDNS: 1006822</t>
  </si>
  <si>
    <t>Ghi chú</t>
  </si>
  <si>
    <t>Trương Thị Mỹ</t>
  </si>
  <si>
    <t>Tô Kim Chi</t>
  </si>
  <si>
    <t>Trương Hữu Nghệ</t>
  </si>
  <si>
    <t>HT</t>
  </si>
  <si>
    <t>PHT</t>
  </si>
  <si>
    <t>Có:</t>
  </si>
  <si>
    <t>06a031</t>
  </si>
  <si>
    <t xml:space="preserve">                  Thủ trưởng đơn vị</t>
  </si>
  <si>
    <t xml:space="preserve"> (Ký, họ tên)</t>
  </si>
  <si>
    <t xml:space="preserve">Bộ phận: </t>
  </si>
  <si>
    <t>Nợ</t>
  </si>
  <si>
    <t>Nguyễn T.Quỳnh Trâm</t>
  </si>
  <si>
    <t>Nguyễn T. Minh Châu</t>
  </si>
  <si>
    <t>Nguyễn T. Đoan Trang</t>
  </si>
  <si>
    <t>Nguyễn T.Kim Anh</t>
  </si>
  <si>
    <t>Trương T. Hoàng Nhi</t>
  </si>
  <si>
    <t>NguyễnT.Thanh Tuyền</t>
  </si>
  <si>
    <t>Huỳnh T. Thảo Trang</t>
  </si>
  <si>
    <t xml:space="preserve">BẢNG  THANH TOÁN TIỀN LƯƠNG </t>
  </si>
  <si>
    <t xml:space="preserve">      Người lập</t>
  </si>
  <si>
    <t xml:space="preserve">                 (Ký, họ tên)</t>
  </si>
  <si>
    <t>Kế toán trưởng</t>
  </si>
  <si>
    <t xml:space="preserve">             (Ký, họ tên)</t>
  </si>
  <si>
    <t xml:space="preserve">          Trương Hữu Nghệ </t>
  </si>
  <si>
    <t>Tôn ThấtQuỳnh Lương</t>
  </si>
  <si>
    <t>TPVP</t>
  </si>
  <si>
    <t>Hầu Thị Túy Hằng</t>
  </si>
  <si>
    <t>khấu trừ 1% công đoàn cơ sở</t>
  </si>
  <si>
    <t>Trách nhiệm, độc hại</t>
  </si>
  <si>
    <t>11=7-8+9</t>
  </si>
  <si>
    <t>15=11-14</t>
  </si>
  <si>
    <t>V.07.04.10</t>
  </si>
  <si>
    <t>TPCM</t>
  </si>
  <si>
    <t>Phan Văn Phong</t>
  </si>
  <si>
    <t>Trần Thị Thanh Thúy</t>
  </si>
  <si>
    <t>Đặng Duy Tín</t>
  </si>
  <si>
    <t>V.07.04.32</t>
  </si>
  <si>
    <t>Phan Hữu Thịnh</t>
  </si>
  <si>
    <t>BV</t>
  </si>
  <si>
    <t xml:space="preserve">       Tô Kim Chi</t>
  </si>
  <si>
    <t>THÁNG 01  NĂM 2022</t>
  </si>
  <si>
    <t>Số: 01</t>
  </si>
  <si>
    <t>Tổng số tiền (Viết bằng chữ):</t>
  </si>
  <si>
    <t xml:space="preserve">  Ngày        Tháng  01   Năm 2022</t>
  </si>
  <si>
    <t xml:space="preserve">                                          BẢNG THANH TOÁN CHO ĐỐI TƯỢNG THỤ HƯỞNG                                                             </t>
  </si>
  <si>
    <t>Mã hiệu</t>
  </si>
  <si>
    <r>
      <t xml:space="preserve">Tài khoản dự toán  </t>
    </r>
    <r>
      <rPr>
        <sz val="14"/>
        <rFont val="Wingdings 2"/>
        <family val="1"/>
        <charset val="2"/>
      </rPr>
      <t>R</t>
    </r>
    <r>
      <rPr>
        <i/>
        <sz val="14"/>
        <rFont val="Times New Roman"/>
        <family val="1"/>
      </rPr>
      <t xml:space="preserve">    Tài khoản tiền gửi </t>
    </r>
    <r>
      <rPr>
        <sz val="14"/>
        <rFont val="Wingdings 2"/>
        <family val="1"/>
        <charset val="2"/>
      </rPr>
      <t>£</t>
    </r>
  </si>
  <si>
    <t>1. Đơn vị sử dụng ngân sách: Trường THCS Nguyễn Khoa Thuyên</t>
  </si>
  <si>
    <t>2. Mã đơn vị :  1006822</t>
  </si>
  <si>
    <t>3. Tài khoản thanh toán của đơn vị: 4002201002243  mở tại Ngân hàng Nông nghiệp &amp; PTNT Hương trà, PGD An Hòa</t>
  </si>
  <si>
    <t>Họ và tên</t>
  </si>
  <si>
    <t>Tài khoản ngân hàng</t>
  </si>
  <si>
    <t>Tổng số</t>
  </si>
  <si>
    <t>Trong đó</t>
  </si>
  <si>
    <t>Số TK người hưởng</t>
  </si>
  <si>
    <t>Tên Ngân hàng</t>
  </si>
  <si>
    <t>Lương &amp; PC theo lương</t>
  </si>
  <si>
    <t>Tiền công lđ th.xuyên theo hđ</t>
  </si>
  <si>
    <t>Tiền thu nhập tăng thêm</t>
  </si>
  <si>
    <t>Tiền thưởng</t>
  </si>
  <si>
    <t>Tiền phụ cấp &amp; trợ cấp khác</t>
  </si>
  <si>
    <t>Tiền khoán</t>
  </si>
  <si>
    <t>Tiền học bổng</t>
  </si>
  <si>
    <t>I</t>
  </si>
  <si>
    <t>Đối với công chức, viên chức</t>
  </si>
  <si>
    <t>NN&amp;PTNT An Hòa</t>
  </si>
  <si>
    <t>Tôn Thất Quỳnh Lương</t>
  </si>
  <si>
    <t>Nguyễn Thị Minh Châu</t>
  </si>
  <si>
    <t>Nguyễn Thị Quỳnh Trâm</t>
  </si>
  <si>
    <t>Nguyễn Thị Đoan Trang</t>
  </si>
  <si>
    <t>Nguyễn Thị Kim Anh</t>
  </si>
  <si>
    <t>NN&amp;PTNT Ph. Điền</t>
  </si>
  <si>
    <t>Trương Thị Hoàng Nhi</t>
  </si>
  <si>
    <t>Nguyễn Thị Thanh Tuyền</t>
  </si>
  <si>
    <t>Huỳnh Thị Thảo Trang</t>
  </si>
  <si>
    <t>NN&amp;PTNT CN NSH</t>
  </si>
  <si>
    <t>II</t>
  </si>
  <si>
    <t>Đối với hợp đồng theo NĐ 68/2000/NĐ-CP</t>
  </si>
  <si>
    <t>III</t>
  </si>
  <si>
    <t>Đối với lao động thường xuyên theo hợp đồng</t>
  </si>
  <si>
    <t xml:space="preserve">II. Phần thuyết minh thay đổi so với tháng trước: </t>
  </si>
  <si>
    <t>Tăng:</t>
  </si>
  <si>
    <t xml:space="preserve">đ </t>
  </si>
  <si>
    <t>Giảm:</t>
  </si>
  <si>
    <t>Người lập</t>
  </si>
  <si>
    <t>Thủ trưởng đơn vị</t>
  </si>
  <si>
    <t>( Ký, ghi rõ họ tên)</t>
  </si>
  <si>
    <t>(Ký, ghi rõ họ tên)</t>
  </si>
  <si>
    <t>(Ký, ghi rõ họ tên &amp;đóng dấu)</t>
  </si>
  <si>
    <t>KHO BẠC NHÀ NƯỚC</t>
  </si>
  <si>
    <t>Chuyên viên kiểm soát chi/ Giao dịch viên</t>
  </si>
  <si>
    <t>Giám đốc KBNN Thừa Thiên Huế</t>
  </si>
  <si>
    <t xml:space="preserve">*Lương tháng 1/2022:   </t>
  </si>
  <si>
    <t>đ.    Tổng biên chế tháng 1: 37 người</t>
  </si>
  <si>
    <t xml:space="preserve"> Hộ sản</t>
  </si>
  <si>
    <t xml:space="preserve">                     ( Kèm theo Giấy rút dự toán/ Ủy nhiệm chi số:        Ngày      tháng  01  năm 2022)</t>
  </si>
  <si>
    <t>Số : 01</t>
  </si>
  <si>
    <t>I. Nội dung đề nghị thanh toán: Lương tháng 1/2022</t>
  </si>
  <si>
    <t>Ngày       tháng 01 năm 2022</t>
  </si>
  <si>
    <t>Ngày        tháng       năm 2022</t>
  </si>
  <si>
    <t>Tổng số tiền (Viết bằng chữ): Hai trăm chín mươi tám triệu, sáu trăm bảy mươi hai nghìn, hai trăm năm mươi đồng.</t>
  </si>
  <si>
    <t>THÁNG 03  NĂM 2022</t>
  </si>
  <si>
    <t>THÁNG 02  NĂM 2022</t>
  </si>
  <si>
    <t xml:space="preserve">  Ngày        Tháng  03   Năm 2022</t>
  </si>
  <si>
    <t>Hai trăm chín mươi tám triệu, bảy trăm bảy mươi ngàn, sáu trăm sáu mươi sáu đồng./.</t>
  </si>
  <si>
    <t xml:space="preserve">  Ngày 27  Tháng  01   Năm 2022</t>
  </si>
  <si>
    <t>Số: 03</t>
  </si>
  <si>
    <t>Hai trăm chín mươi tám triệu, sáu trăm bảy mươi hai ngàn, hai trăm năm mươi đồng./.</t>
  </si>
  <si>
    <t>hs T11</t>
  </si>
  <si>
    <t xml:space="preserve">                     ( Kèm theo Giấy rút dự toán/ Ủy nhiệm chi số:        Ngày      tháng  3  năm 2022)</t>
  </si>
  <si>
    <t xml:space="preserve">*Lương tháng 2/2022:   </t>
  </si>
  <si>
    <t xml:space="preserve">*Lương tháng 3/2022:   </t>
  </si>
  <si>
    <t>đ.    Tổng biên chế tháng 2: 37 người</t>
  </si>
  <si>
    <t>đ.    Tổng biên chế tháng 3: 37 người</t>
  </si>
  <si>
    <t xml:space="preserve">đ ( Hiệu trưởng giảm 1% nộp BHTN) </t>
  </si>
  <si>
    <t>Ngày       tháng 03 năm 2022</t>
  </si>
  <si>
    <t>I. Nội dung đề nghị thanh toán: Lương tháng 3/2022</t>
  </si>
  <si>
    <t>Tổng số tiền (Viết bằng chữ): Hai trăm chín mươi tám triệu, bảy trăm bảy mươi nghìn, sáu trăm sáu mươi sáu đồng.</t>
  </si>
  <si>
    <t>THÁNG 04  NĂM 2022</t>
  </si>
  <si>
    <t xml:space="preserve">  Ngày        Tháng  04   Năm 2022</t>
  </si>
  <si>
    <t>Số: 4</t>
  </si>
  <si>
    <t xml:space="preserve">                     ( Kèm theo Giấy rút dự toán/ Ủy nhiệm chi số:        Ngày      tháng  4  năm 2022)</t>
  </si>
  <si>
    <t>I. Nội dung đề nghị thanh toán: Lương tháng 4/2022</t>
  </si>
  <si>
    <t>Ngày       tháng 04 năm 2022</t>
  </si>
  <si>
    <t>Hai trăm chín mươi chín triệu, sáu trăm chín mươi chín ngàn, bảy trăm mười ba đồng./.</t>
  </si>
  <si>
    <t>2. Lê Thị Kim Phụng</t>
  </si>
  <si>
    <t>3. Tôn T Quỳnh Lương</t>
  </si>
  <si>
    <t>4. Ngô Kim Hương</t>
  </si>
  <si>
    <t>5. Võ Văn Thuận</t>
  </si>
  <si>
    <t>7. Nguyễn T .Mỹ Liêm</t>
  </si>
  <si>
    <t>8. Lê T. Khánh Đoan</t>
  </si>
  <si>
    <t>9.Nguyễn T. Kim Anh</t>
  </si>
  <si>
    <t>10. Phan Văn Phong</t>
  </si>
  <si>
    <t>11. Bùi Thị Tâm</t>
  </si>
  <si>
    <t>12. Dương Xuân Thịnh</t>
  </si>
  <si>
    <t>13. N. T.Thanh Tuyền</t>
  </si>
  <si>
    <t>14. Trần T Phước Sương</t>
  </si>
  <si>
    <t>15.Nguyễn Quý Đôn</t>
  </si>
  <si>
    <t>6.Nguyễn TQuỳnh Trâm</t>
  </si>
  <si>
    <t>đ.  Quyết định số 192/6/QĐ-THCSNKT ngày 15/11/2021</t>
  </si>
  <si>
    <t>đ.  Quyết định số 192/11/QĐ-THCSNKT ngày 15/11/2021</t>
  </si>
  <si>
    <t>đ.  Quyết định số 192/14/QĐ-THCSNKT ngày 15/11/2021</t>
  </si>
  <si>
    <t>đ.  Quyết định số 192/1/QĐ-THCSNKT ngày 15/11/2021</t>
  </si>
  <si>
    <t>đ.  Quyết định số 192/2/QĐ-THCSNKT ngày 15/11/2021</t>
  </si>
  <si>
    <t>đ.  Quyết định số 192/4/QĐ-THCSNKT ngày 15/11/2021</t>
  </si>
  <si>
    <t>đ.  Quyết định số 192/5/QĐ-THCSNKT ngày 15/11/2021</t>
  </si>
  <si>
    <t>đ.  Quyết định số 192/7/QĐ-THCSNKT ngày 15/11/2021</t>
  </si>
  <si>
    <t>đ.  Quyết định số 192/8/QĐ-THCSNKT ngày 15/11/2021</t>
  </si>
  <si>
    <t>đ.  Quyết định số 192/9/QĐ-THCSNKT ngày 15/11/2021</t>
  </si>
  <si>
    <t>đ.  Quyết định số 192/10/QĐ-THCSNKT ngày 15/11/2021</t>
  </si>
  <si>
    <t>đ.  Quyết định số 192/12/QĐ-THCSNKT ngày 15/11/2021</t>
  </si>
  <si>
    <t>đ.  Quyết định số 192/13/QĐ-THCSNKT ngày 15/11/2021</t>
  </si>
  <si>
    <t>đ.  Quyết định số 11172/6/QĐ-UBND ngày 31/12/2021</t>
  </si>
  <si>
    <t xml:space="preserve">đ.  Quyết định số 8618/QĐ-UBND ngày 11/11/2021  </t>
  </si>
  <si>
    <t>Tăng TN: 1. Trương Hữu Nghệ :        72.412đ</t>
  </si>
  <si>
    <t xml:space="preserve">đ (tăng 1% thâm niên nhà giáo) </t>
  </si>
  <si>
    <t>Tổng số tiền (Viết bằng chữ): Hai trăm chín mươi chín triệu, sáu trăm sáu mươi chín nghìn, bảy trăm mười ba đồng.</t>
  </si>
  <si>
    <t xml:space="preserve">Số : </t>
  </si>
  <si>
    <t>số 8618 /QĐ-UBND ngày 11/11/2021</t>
  </si>
  <si>
    <t>số 192/1 QĐ-THCSNKT ngày 05/11/2021</t>
  </si>
  <si>
    <t>số 192/2 QĐ-THCSNKT ngày 05/11/2021</t>
  </si>
  <si>
    <t>số 192/4 QĐ-THCSNKT ngày 05/11/2021</t>
  </si>
  <si>
    <t>số 192/5 QĐ-THCSNKT ngày 05/11/2021</t>
  </si>
  <si>
    <t>số 192/6 QĐ-THCSNKT ngày 05/11/2021</t>
  </si>
  <si>
    <t>số 192/7 QĐ-THCSNKT ngày 05/11/2021</t>
  </si>
  <si>
    <t>số 192/8QĐ-THCSNKT ngày 05/11/2021</t>
  </si>
  <si>
    <t>số 192/9 QĐ-THCSNKT ngày 05/11/2021</t>
  </si>
  <si>
    <t>số 192/10 QĐ-THCSNKT ngày 05/11/2021</t>
  </si>
  <si>
    <t>số 192/11 QĐ-THCSNKT ngày 05/11/2021</t>
  </si>
  <si>
    <t>số 192/12QĐ-THCSNKT ngày 05/11/2021</t>
  </si>
  <si>
    <t>số 192/13 QĐ-THCSNKT ngày 05/11/2021</t>
  </si>
  <si>
    <t>số 192/14 QĐ-THCSNKT ngày 05/11/2021</t>
  </si>
  <si>
    <t>số 11172/QĐ-UBND ngày 31/12/2021</t>
  </si>
  <si>
    <r>
      <rPr>
        <i/>
        <sz val="12"/>
        <rFont val="Times New Roman"/>
        <family val="1"/>
      </rPr>
      <t>Số tiền bằng chữ: Ba triệu, một trăm ba mươi ngàn, năm trăm linh chín đồng</t>
    </r>
    <r>
      <rPr>
        <b/>
        <sz val="12"/>
        <rFont val="Times New Roman"/>
        <family val="1"/>
      </rPr>
      <t>./.</t>
    </r>
  </si>
  <si>
    <t>Ngày        tháng 04 năm 2022</t>
  </si>
  <si>
    <t xml:space="preserve">I. Nội dung đề nghị thanh toán: Truy lĩnh thâm niên ( tháng 1-3/2022) </t>
  </si>
  <si>
    <t>THÁNG 05  NĂM 2022</t>
  </si>
  <si>
    <t>Số: 5</t>
  </si>
  <si>
    <t>hết hs</t>
  </si>
  <si>
    <t xml:space="preserve">  Ngày        Tháng  05   Năm 2022</t>
  </si>
  <si>
    <t>Quy I</t>
  </si>
  <si>
    <t xml:space="preserve">                     ( Kèm theo Giấy rút dự toán/ Ủy nhiệm chi số:        Ngày      tháng  5  năm 2022)</t>
  </si>
  <si>
    <t>I. Nội dung đề nghị thanh toán: Lương tháng 5/2022</t>
  </si>
  <si>
    <t xml:space="preserve">*Lương tháng 4/2022:   </t>
  </si>
  <si>
    <t xml:space="preserve">*Lương tháng 5/2022:   </t>
  </si>
  <si>
    <t xml:space="preserve">đ (cô ThảoTrang hết hộ sản) </t>
  </si>
  <si>
    <t xml:space="preserve"> Hết nghỉ hs</t>
  </si>
  <si>
    <t>đ.    Tổng biên chế tháng 4: 37 người</t>
  </si>
  <si>
    <t>đ.    Tổng biên chế tháng 5: 37 người</t>
  </si>
  <si>
    <t>Ba trăm linh tư triệu, bốn trăm tám mươi ba ngàn, tám trăm hai mươi chín đồng./.</t>
  </si>
  <si>
    <t>Tổng số tiền (Viết bằng chữ): Ba trăm linh tư triệu, bốn trăm tám mươi ba nghìn,  tám trăm hai mươi chín đồng.</t>
  </si>
  <si>
    <t>Ngày       tháng 5 năm 2022</t>
  </si>
  <si>
    <t>THÁNG 06  NĂM 2022</t>
  </si>
  <si>
    <t>NL</t>
  </si>
  <si>
    <t xml:space="preserve">  Ngày        Tháng  6   Năm 2022</t>
  </si>
  <si>
    <t xml:space="preserve">                     ( Kèm theo Giấy rút dự toán/ Ủy nhiệm chi số:        Ngày      tháng  6  năm 2022)</t>
  </si>
  <si>
    <t>I. Nội dung đề nghị thanh toán: Lương tháng 6/2022</t>
  </si>
  <si>
    <t xml:space="preserve"> </t>
  </si>
  <si>
    <t>Ngày       tháng 6 năm 2022</t>
  </si>
  <si>
    <t xml:space="preserve">*Lương tháng 6/2022:   </t>
  </si>
  <si>
    <t>nâng vk</t>
  </si>
  <si>
    <t>Ba trăm linh sáu triệu, bảy trăm ba mươi sáu ngàn, ba trăm năm mươi chín đồng./.</t>
  </si>
  <si>
    <t xml:space="preserve">  4) Trâm : 675.596đ. QĐ số 56/QĐ-THCSNKT ngày 16/5/2022</t>
  </si>
  <si>
    <t>Chi tiết tăng</t>
  </si>
  <si>
    <t xml:space="preserve">  1) Phụng: 105.938đ; QĐ số: 58/QĐ-THCSNKT ngày 16/5/2022</t>
  </si>
  <si>
    <t xml:space="preserve">  2) Q.Lương: 106.602đ; QĐ số 59/THCSNKT ngày 16/5/2022</t>
  </si>
  <si>
    <t xml:space="preserve">  5) Hằng: 679.997đ . QĐ số 3022/QĐ-UBND ngày 10/5/2022</t>
  </si>
  <si>
    <t>đ.    Tổng biên chế tháng 6: 37 người</t>
  </si>
  <si>
    <t xml:space="preserve">  3) Châu:  684.397đ.QĐ số 57/QĐ-THCSNKT ngày 16/5/2022</t>
  </si>
  <si>
    <t xml:space="preserve">            Tô Kim Chi</t>
  </si>
  <si>
    <t>nộp thuế qII</t>
  </si>
  <si>
    <t>THÁNG 07  NĂM 2022</t>
  </si>
  <si>
    <t>nghỉ DS 5 ngày</t>
  </si>
  <si>
    <t>THÁNG 07 NĂM 2022</t>
  </si>
  <si>
    <t>DS 5ng</t>
  </si>
  <si>
    <t>I. Nội dung đề nghị thanh toán: Lương tháng 7/2022</t>
  </si>
  <si>
    <t>1%TN</t>
  </si>
  <si>
    <t>Ba trăm linh sáu triệu, không trăm bảy mươi mốt ngàn, hai trăm mười lăm đồng./.</t>
  </si>
  <si>
    <t xml:space="preserve">  Ngày        Tháng  7   Năm 2022</t>
  </si>
  <si>
    <t xml:space="preserve">*Lương tháng 7/2022:   </t>
  </si>
  <si>
    <t xml:space="preserve">  6) Hinh: 53.209đ; QĐ số: 73/QĐ-THCSNKT ngày 31/5/2022</t>
  </si>
  <si>
    <t xml:space="preserve">  1) Hằng: 69.745đ; QĐ số: 68/QĐ-THCSNKT ngày 31/5/2022</t>
  </si>
  <si>
    <t xml:space="preserve">  2) Châu: 66.411đ; QĐ số 71/QĐ-THCSNKT ngày 31/5/2022</t>
  </si>
  <si>
    <t xml:space="preserve">  4) Sâm : 57.609đ. QĐ số 69/QĐ-THCSNKT ngày 31/5/2022</t>
  </si>
  <si>
    <t xml:space="preserve">  5) Thu:  57.609đ . QĐ số: 70/QĐ-THCSNKT ngày 31/5/2022</t>
  </si>
  <si>
    <t xml:space="preserve">                     ( Kèm theo Giấy rút dự toán/ Ủy nhiệm chi số:        Ngày       tháng  7  năm 2022)</t>
  </si>
  <si>
    <t>nâng 1%TN</t>
  </si>
  <si>
    <t xml:space="preserve"> Nghỉ DS</t>
  </si>
  <si>
    <t>đ  Thảo Trang nghỉ DS 5 ngày</t>
  </si>
  <si>
    <t>Ngày       tháng  7 năm 2022</t>
  </si>
  <si>
    <t xml:space="preserve">  3) Nhơn: 64.677đ.QĐ số 72/QĐ-THCSNKT ngày 31/5/2022</t>
  </si>
  <si>
    <t>THÁNG 08 NĂM 2022</t>
  </si>
  <si>
    <t xml:space="preserve">  Ngày        Tháng  8   Năm 2022</t>
  </si>
  <si>
    <t>Ba trăm linh bảy triệu, một trăm linh năm ngàn, sáu trăm mười chín đồng./.</t>
  </si>
  <si>
    <t xml:space="preserve">                     ( Kèm theo Giấy rút dự toán/ Ủy nhiệm chi số:        Ngày       tháng  8  năm 2022)</t>
  </si>
  <si>
    <t>I. Nội dung đề nghị thanh toán: Lương tháng 8/2022</t>
  </si>
  <si>
    <t xml:space="preserve"> hết nghỉ DS</t>
  </si>
  <si>
    <t xml:space="preserve">đ  Thảo Trang hết nghỉ DS </t>
  </si>
  <si>
    <t>đ.    Tổng biên chế tháng 7: 37 người</t>
  </si>
  <si>
    <t>đ.    Tổng biên chế tháng 8: 37 người</t>
  </si>
  <si>
    <t xml:space="preserve">*Lương tháng 8/2022:   </t>
  </si>
  <si>
    <t>Ngày       tháng  8  năm 2022</t>
  </si>
  <si>
    <t>Số:9</t>
  </si>
  <si>
    <t>Số: 10</t>
  </si>
  <si>
    <t>THÁNG 9 NĂM 2022</t>
  </si>
  <si>
    <t xml:space="preserve">                     ( Kèm theo Giấy rút dự toán/ Ủy nhiệm chi số:        Ngày       tháng  9  năm 2022)</t>
  </si>
  <si>
    <t>I. Nội dung đề nghị thanh toán: Lương tháng 9/2022</t>
  </si>
  <si>
    <t>Chi tiết tăng:</t>
  </si>
  <si>
    <t xml:space="preserve">2/ Phan V. Phong:      671.195đ, QĐ số 96/QĐ-THCSNKT ngày 19/7/2022  </t>
  </si>
  <si>
    <t xml:space="preserve">3/Ng. Minh Đức:        662.394đ, QĐ số 95/QĐ-THCSNKT ngày 19/7/2022  </t>
  </si>
  <si>
    <t xml:space="preserve">4/ Trương T Mỹ:        635.989đ, QĐ số 98/QĐ-THCSNKT ngày 19/7/2022  </t>
  </si>
  <si>
    <t xml:space="preserve">5/ Nguyễn V Phước:  644.790đ, QĐ số 97/QĐ-THCSNKT ngày 19/7/2022  </t>
  </si>
  <si>
    <t>Ngày       tháng  9  năm 2022</t>
  </si>
  <si>
    <t xml:space="preserve">1/ Lương V.Thành:  536.421đ, QĐ số 100/QĐ-THCSNKT ngày 19/7/2022    </t>
  </si>
  <si>
    <t xml:space="preserve">*Lương tháng 9/2022:   </t>
  </si>
  <si>
    <t>đ.    Tổng biên chế tháng 9: 37 người</t>
  </si>
  <si>
    <t>N</t>
  </si>
  <si>
    <t>Nh</t>
  </si>
  <si>
    <t>Tr</t>
  </si>
  <si>
    <t>H</t>
  </si>
  <si>
    <t>cn</t>
  </si>
  <si>
    <t>Ba trăm mười triệu, năm trăm tám mươi hai ngàn, một trăm chín lăm đồng./.</t>
  </si>
  <si>
    <t>đ  Nâng lương TX 5 người, nâng TN 6 người</t>
  </si>
  <si>
    <t>Tn</t>
  </si>
  <si>
    <t xml:space="preserve">  Ngày        Tháng  9   Năm 2022</t>
  </si>
  <si>
    <t>L,Tn</t>
  </si>
  <si>
    <t>Ba trăm mười triệu, năm trăm tám mươi hai  ngàn, một trăm chín mươi lăm đồng./.</t>
  </si>
  <si>
    <t>NL, TN</t>
  </si>
  <si>
    <t>TN</t>
  </si>
  <si>
    <t xml:space="preserve">3/ Nguyễn Đ P Long:  53.342đ, QĐ số 109/QĐ-THCSNKT ngày 25/8/2022  </t>
  </si>
  <si>
    <t xml:space="preserve">4/ Nguyễn V Phước:  53.209đ, QĐ số 108/QĐ-THCSNKT ngày 25/8/2022  </t>
  </si>
  <si>
    <t xml:space="preserve">1/ Phan V. Phong:      65.010đ, QĐ số 111/QĐ-THCSNKT ngày 25/8/2022  </t>
  </si>
  <si>
    <t xml:space="preserve">2/ Trương T Mỹ:        48.808đ, QĐ số 107/QĐ-THCSNKT ngày 25/8/2022  </t>
  </si>
  <si>
    <t xml:space="preserve">6/ Đặng Duy Tín:   48.808đ, QĐ số 106/QĐ-THCSNKT ngày 25/8/2022  </t>
  </si>
  <si>
    <t xml:space="preserve">5/Ng. T  Đoan Trang:  57.609đ, QĐ số 110/QĐ-THCSNKT ngày 25/8/2022  </t>
  </si>
  <si>
    <t xml:space="preserve"> NângVK 5%</t>
  </si>
  <si>
    <t>THÁNG 10 NĂM 2022</t>
  </si>
  <si>
    <t xml:space="preserve">                     ( Kèm theo Giấy rút dự toán/ Ủy nhiệm chi số:        Ngày       tháng  10  năm 2022)</t>
  </si>
  <si>
    <t>I. Nội dung đề nghị thanh toán: Lương tháng 10/2022</t>
  </si>
  <si>
    <t xml:space="preserve">*Lương tháng 10/2022:   </t>
  </si>
  <si>
    <t>đ.    Tổng biên chế tháng 10: 37 người</t>
  </si>
  <si>
    <t>Ngày       tháng  10  năm 2022</t>
  </si>
  <si>
    <t xml:space="preserve">  Ngày        Tháng  10   Năm 2022</t>
  </si>
  <si>
    <t>đ  Nâng lương bảo vệ theo NĐ 38/2022</t>
  </si>
  <si>
    <t>Nộp thuế QIII</t>
  </si>
  <si>
    <t>Ba trăm mười triệu, bảy trăm chín mươi sáu ngàn, chín trăm chín mươi lăm đồng./.</t>
  </si>
  <si>
    <t>Số: 11</t>
  </si>
  <si>
    <t>I. Nội dung đề nghị thanh toán: Tiền nước Hội nghị CBVC năm 2022</t>
  </si>
  <si>
    <t>Một triệu, bốn trăm tám mươi nghìn đồng./.</t>
  </si>
  <si>
    <t>Tổng biên chế tháng 10:</t>
  </si>
  <si>
    <t>=</t>
  </si>
  <si>
    <t xml:space="preserve">                     ( Kèm theo Giấy rút dự toán/ Ủy nhiệm chi số:        Ngày  04 tháng  10  năm 2022)</t>
  </si>
  <si>
    <t xml:space="preserve"> 2 ngày</t>
  </si>
  <si>
    <t>1 ngày</t>
  </si>
  <si>
    <t>3 đêm</t>
  </si>
  <si>
    <t>Chín  trăm ba mươi nghìn đồng./.</t>
  </si>
  <si>
    <t>I. Nội dung đề nghị thanh toán: Hỗ trợ CBGVNV trực bão Noru theo quy chế CTNB</t>
  </si>
  <si>
    <t>I. Nội dung đề nghị thanh toán: Hỗ trợ đại hội chi bộ theo quy chế CTNB</t>
  </si>
  <si>
    <t>Sáu trăm nghìn đồng./.</t>
  </si>
  <si>
    <t>THÁNG 11  NĂM 2022</t>
  </si>
  <si>
    <t xml:space="preserve">  Ngày        Tháng  11   Năm 2022</t>
  </si>
  <si>
    <t xml:space="preserve">                     ( Kèm theo Giấy rút dự toán/ Ủy nhiệm chi số:        Ngày  04 tháng  11  năm 2022)</t>
  </si>
  <si>
    <t>I. Nội dung đề nghị thanh toán: Lương tháng 11/2022</t>
  </si>
  <si>
    <t>Giảm pccv  Huỳnh Thảo Trang</t>
  </si>
  <si>
    <t xml:space="preserve">*Lương tháng 11/2022:   </t>
  </si>
  <si>
    <t>đ.    Tổng biên chế tháng 11: 37 người</t>
  </si>
  <si>
    <t>Ngày       tháng  11 năm 2022</t>
  </si>
  <si>
    <t>Ba trăm mười triệu,năm trăm chín mươi sáu ngàn, chín trăm sáu mươi hai đồng./.</t>
  </si>
  <si>
    <t>Ba trăm mười triệu, năm trăm chín mươi sáu ngàn, chín trăm sáu mươi hai đồng./.</t>
  </si>
</sst>
</file>

<file path=xl/styles.xml><?xml version="1.0" encoding="utf-8"?>
<styleSheet xmlns="http://schemas.openxmlformats.org/spreadsheetml/2006/main">
  <numFmts count="28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#,##0\ &quot;DM&quot;;\-#,##0\ &quot;DM&quot;"/>
    <numFmt numFmtId="166" formatCode="_-* #,##0_-;\-* #,##0_-;_-* &quot;-&quot;_-;_-@_-"/>
    <numFmt numFmtId="167" formatCode="#,##0.00\ &quot;$&quot;_);\(#,##0.00\ &quot;$&quot;\)"/>
    <numFmt numFmtId="168" formatCode="#,##0.00\ &quot;$&quot;_);[Red]\(#,##0.00\ &quot;$&quot;\)"/>
    <numFmt numFmtId="169" formatCode="_ * #,##0_ ;_ * \-#,##0_ ;_ * &quot;-&quot;_ ;_ @_ "/>
    <numFmt numFmtId="170" formatCode="_(\$* #,##0.00_);_(\$* \(#,##0.00\);_(\$* &quot;-&quot;??_);_(@_)"/>
    <numFmt numFmtId="171" formatCode="\$#,##0\ ;\(\$#,##0\)"/>
    <numFmt numFmtId="172" formatCode="_(\§\g\ #,##0_);_(\§\g\ \(#,##0\);_(\§\g\ &quot;-&quot;??_);_(@_)"/>
    <numFmt numFmtId="173" formatCode="#,##0\ &quot;$&quot;_);[Red]\(#,##0\ &quot;$&quot;\)"/>
    <numFmt numFmtId="174" formatCode="&quot;$&quot;###,0&quot;.&quot;00_);[Red]\(&quot;$&quot;###,0&quot;.&quot;00\)"/>
    <numFmt numFmtId="175" formatCode="#,##0&quot; F&quot;;\-#,##0&quot; F&quot;"/>
    <numFmt numFmtId="176" formatCode="_-* #,##0.0\ _F_-;\-* #,##0.0\ _F_-;_-* &quot;-&quot;??\ _F_-;_-@_-"/>
    <numFmt numFmtId="177" formatCode="_-* #,##0\ _F_-;\-* #,##0\ _F_-;_-* &quot;-&quot;\ _F_-;_-@_-"/>
    <numFmt numFmtId="178" formatCode="#,###,###.00"/>
    <numFmt numFmtId="179" formatCode="#,###,###,###.00"/>
    <numFmt numFmtId="180" formatCode="&quot;\&quot;#,##0.00;[Red]\-&quot;\&quot;#,##0.00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_(* #,##0_);_(* \(#,##0\);_(* &quot;-&quot;??_);_(@_)"/>
    <numFmt numFmtId="187" formatCode="#,##0.000"/>
    <numFmt numFmtId="188" formatCode="#,##0.0000"/>
    <numFmt numFmtId="189" formatCode="_(* #.;_(* \(#.;_(* &quot;-&quot;??_);_(@_ⴆ"/>
  </numFmts>
  <fonts count="87">
    <font>
      <sz val="11"/>
      <color theme="1"/>
      <name val="Calibri"/>
      <family val="2"/>
      <charset val="163"/>
      <scheme val="minor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1"/>
      <name val="??"/>
      <family val="3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.VnTime"/>
      <family val="2"/>
    </font>
    <font>
      <sz val="12"/>
      <name val="¹UAAA¼"/>
      <family val="3"/>
      <charset val="129"/>
    </font>
    <font>
      <sz val="12"/>
      <name val="±¼¸²Ã¼"/>
      <family val="3"/>
      <charset val="129"/>
    </font>
    <font>
      <sz val="12"/>
      <name val="µ¸¿òÃ¼"/>
      <family val="3"/>
      <charset val="129"/>
    </font>
    <font>
      <sz val="11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.VnTimeH"/>
      <family val="2"/>
    </font>
    <font>
      <sz val="10"/>
      <name val="MS Sans Serif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System"/>
      <family val="2"/>
    </font>
    <font>
      <sz val="10"/>
      <name val="Arial"/>
      <family val="2"/>
    </font>
    <font>
      <u/>
      <sz val="13"/>
      <color indexed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.VnTime"/>
      <family val="2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2"/>
      <name val="VNtimes new roman"/>
      <family val="2"/>
    </font>
    <font>
      <b/>
      <sz val="9"/>
      <name val="VNtimes new roman"/>
      <family val="2"/>
    </font>
    <font>
      <sz val="9"/>
      <name val="VNtimes new roman"/>
      <family val="2"/>
    </font>
    <font>
      <sz val="8"/>
      <name val="VNtimes new roman"/>
      <family val="2"/>
    </font>
    <font>
      <sz val="10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8"/>
      <color indexed="8"/>
      <name val="Times New Roman"/>
      <family val="1"/>
    </font>
    <font>
      <sz val="9"/>
      <color theme="1"/>
      <name val="Times New Roman"/>
      <family val="1"/>
    </font>
    <font>
      <b/>
      <sz val="8"/>
      <color indexed="8"/>
      <name val="Calibri"/>
      <family val="2"/>
    </font>
    <font>
      <b/>
      <sz val="16"/>
      <color indexed="8"/>
      <name val="Times New Roman"/>
      <family val="1"/>
    </font>
    <font>
      <sz val="10"/>
      <color theme="1"/>
      <name val="Calibri"/>
      <family val="2"/>
      <charset val="163"/>
      <scheme val="minor"/>
    </font>
    <font>
      <sz val="14"/>
      <color indexed="8"/>
      <name val="Times New Roman"/>
      <family val="1"/>
    </font>
    <font>
      <sz val="12"/>
      <color theme="1"/>
      <name val="Arial"/>
      <family val="2"/>
    </font>
    <font>
      <sz val="8"/>
      <color indexed="8"/>
      <name val="Times New Roman"/>
      <family val="1"/>
    </font>
    <font>
      <sz val="6"/>
      <name val="Times New Roman"/>
      <family val="1"/>
    </font>
    <font>
      <sz val="8"/>
      <color theme="1"/>
      <name val="Calibri"/>
      <family val="2"/>
      <charset val="163"/>
      <scheme val="minor"/>
    </font>
    <font>
      <b/>
      <i/>
      <sz val="9"/>
      <color indexed="8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6"/>
      <name val="VNtimes new roman"/>
      <family val="2"/>
    </font>
    <font>
      <sz val="6"/>
      <color indexed="8"/>
      <name val="Times New Roman"/>
      <family val="1"/>
    </font>
    <font>
      <sz val="6"/>
      <color indexed="8"/>
      <name val="Calibri"/>
      <family val="2"/>
    </font>
    <font>
      <b/>
      <sz val="14"/>
      <name val="Times New Roman"/>
      <family val="1"/>
      <charset val="163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4"/>
      <name val="Wingdings 2"/>
      <family val="1"/>
      <charset val="2"/>
    </font>
    <font>
      <sz val="13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/>
    <xf numFmtId="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2" borderId="0"/>
    <xf numFmtId="0" fontId="22" fillId="0" borderId="0">
      <alignment wrapText="1"/>
    </xf>
    <xf numFmtId="167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7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23" fillId="0" borderId="0"/>
    <xf numFmtId="2" fontId="13" fillId="0" borderId="0" applyFont="0" applyFill="0" applyBorder="0" applyAlignment="0" applyProtection="0"/>
    <xf numFmtId="38" fontId="28" fillId="3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49" fontId="30" fillId="0" borderId="3">
      <alignment vertical="center"/>
    </xf>
    <xf numFmtId="10" fontId="28" fillId="3" borderId="3" applyNumberFormat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0" borderId="0" applyNumberFormat="0" applyFont="0" applyFill="0" applyAlignment="0"/>
    <xf numFmtId="175" fontId="33" fillId="0" borderId="0"/>
    <xf numFmtId="3" fontId="34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76" fontId="23" fillId="0" borderId="4">
      <alignment horizontal="right" vertical="center"/>
    </xf>
    <xf numFmtId="176" fontId="47" fillId="0" borderId="4">
      <alignment horizontal="right" vertical="center"/>
    </xf>
    <xf numFmtId="177" fontId="23" fillId="0" borderId="4">
      <alignment horizontal="center"/>
    </xf>
    <xf numFmtId="178" fontId="23" fillId="0" borderId="0"/>
    <xf numFmtId="179" fontId="23" fillId="0" borderId="3"/>
    <xf numFmtId="0" fontId="3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2" fillId="0" borderId="0"/>
    <xf numFmtId="166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44" fillId="0" borderId="0"/>
    <xf numFmtId="18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3" fontId="48" fillId="0" borderId="0" applyFont="0" applyFill="0" applyBorder="0" applyAlignment="0" applyProtection="0"/>
    <xf numFmtId="0" fontId="50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/>
    <xf numFmtId="0" fontId="5" fillId="0" borderId="3" xfId="0" applyFont="1" applyBorder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/>
    <xf numFmtId="3" fontId="0" fillId="0" borderId="0" xfId="0" applyNumberFormat="1"/>
    <xf numFmtId="0" fontId="0" fillId="4" borderId="0" xfId="0" applyFill="1"/>
    <xf numFmtId="3" fontId="52" fillId="4" borderId="3" xfId="76" applyNumberFormat="1" applyFont="1" applyFill="1" applyBorder="1"/>
    <xf numFmtId="0" fontId="51" fillId="4" borderId="3" xfId="76" applyFont="1" applyFill="1" applyBorder="1" applyAlignment="1">
      <alignment horizontal="center"/>
    </xf>
    <xf numFmtId="1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9" fontId="0" fillId="0" borderId="0" xfId="80" applyFont="1"/>
    <xf numFmtId="189" fontId="0" fillId="0" borderId="0" xfId="0" applyNumberFormat="1"/>
    <xf numFmtId="188" fontId="0" fillId="0" borderId="0" xfId="0" applyNumberFormat="1"/>
    <xf numFmtId="188" fontId="11" fillId="0" borderId="3" xfId="0" applyNumberFormat="1" applyFont="1" applyBorder="1" applyAlignment="1">
      <alignment horizontal="center" vertical="center" wrapText="1"/>
    </xf>
    <xf numFmtId="187" fontId="0" fillId="4" borderId="0" xfId="0" applyNumberFormat="1" applyFill="1"/>
    <xf numFmtId="187" fontId="11" fillId="4" borderId="3" xfId="0" applyNumberFormat="1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54" fillId="4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53" fillId="4" borderId="3" xfId="76" applyFont="1" applyFill="1" applyBorder="1" applyAlignment="1">
      <alignment horizontal="center"/>
    </xf>
    <xf numFmtId="0" fontId="58" fillId="4" borderId="3" xfId="0" applyFont="1" applyFill="1" applyBorder="1" applyAlignment="1">
      <alignment horizontal="center" vertical="center"/>
    </xf>
    <xf numFmtId="0" fontId="9" fillId="0" borderId="3" xfId="76" applyFont="1" applyBorder="1"/>
    <xf numFmtId="187" fontId="59" fillId="4" borderId="3" xfId="0" applyNumberFormat="1" applyFont="1" applyFill="1" applyBorder="1" applyAlignment="1">
      <alignment horizontal="center"/>
    </xf>
    <xf numFmtId="3" fontId="59" fillId="4" borderId="3" xfId="0" applyNumberFormat="1" applyFont="1" applyFill="1" applyBorder="1" applyAlignment="1">
      <alignment horizontal="center"/>
    </xf>
    <xf numFmtId="0" fontId="56" fillId="0" borderId="0" xfId="0" applyFont="1"/>
    <xf numFmtId="0" fontId="61" fillId="0" borderId="3" xfId="0" applyFont="1" applyBorder="1" applyAlignment="1">
      <alignment horizontal="center" vertical="center"/>
    </xf>
    <xf numFmtId="3" fontId="59" fillId="4" borderId="9" xfId="0" applyNumberFormat="1" applyFont="1" applyFill="1" applyBorder="1" applyAlignment="1">
      <alignment horizontal="center"/>
    </xf>
    <xf numFmtId="3" fontId="59" fillId="4" borderId="3" xfId="0" applyNumberFormat="1" applyFont="1" applyFill="1" applyBorder="1" applyAlignment="1">
      <alignment horizontal="right"/>
    </xf>
    <xf numFmtId="0" fontId="64" fillId="4" borderId="3" xfId="0" applyFont="1" applyFill="1" applyBorder="1" applyAlignment="1">
      <alignment horizontal="center" vertical="center"/>
    </xf>
    <xf numFmtId="4" fontId="53" fillId="4" borderId="3" xfId="76" applyNumberFormat="1" applyFont="1" applyFill="1" applyBorder="1"/>
    <xf numFmtId="0" fontId="28" fillId="4" borderId="3" xfId="0" applyFont="1" applyFill="1" applyBorder="1"/>
    <xf numFmtId="3" fontId="53" fillId="4" borderId="3" xfId="76" applyNumberFormat="1" applyFont="1" applyFill="1" applyBorder="1"/>
    <xf numFmtId="43" fontId="7" fillId="4" borderId="0" xfId="75" applyFont="1" applyFill="1" applyAlignment="1"/>
    <xf numFmtId="187" fontId="0" fillId="0" borderId="0" xfId="0" applyNumberFormat="1"/>
    <xf numFmtId="0" fontId="65" fillId="0" borderId="3" xfId="0" applyFont="1" applyBorder="1" applyAlignment="1">
      <alignment horizontal="center" vertical="center" wrapText="1"/>
    </xf>
    <xf numFmtId="0" fontId="9" fillId="4" borderId="3" xfId="76" applyFont="1" applyFill="1" applyBorder="1"/>
    <xf numFmtId="0" fontId="66" fillId="0" borderId="3" xfId="0" applyFont="1" applyBorder="1"/>
    <xf numFmtId="0" fontId="58" fillId="4" borderId="3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/>
    </xf>
    <xf numFmtId="43" fontId="7" fillId="4" borderId="0" xfId="75" applyFont="1" applyFill="1" applyAlignment="1">
      <alignment horizontal="center"/>
    </xf>
    <xf numFmtId="0" fontId="57" fillId="4" borderId="3" xfId="0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9" fillId="4" borderId="3" xfId="0" applyFont="1" applyFill="1" applyBorder="1" applyAlignment="1">
      <alignment horizontal="center" vertical="center"/>
    </xf>
    <xf numFmtId="187" fontId="55" fillId="4" borderId="3" xfId="0" applyNumberFormat="1" applyFont="1" applyFill="1" applyBorder="1" applyAlignment="1">
      <alignment horizontal="right" vertical="center" wrapText="1"/>
    </xf>
    <xf numFmtId="188" fontId="55" fillId="0" borderId="3" xfId="0" applyNumberFormat="1" applyFont="1" applyBorder="1" applyAlignment="1">
      <alignment horizontal="right" vertical="center" wrapText="1"/>
    </xf>
    <xf numFmtId="188" fontId="64" fillId="0" borderId="3" xfId="0" applyNumberFormat="1" applyFont="1" applyBorder="1" applyAlignment="1">
      <alignment horizontal="center" vertical="center"/>
    </xf>
    <xf numFmtId="3" fontId="64" fillId="0" borderId="3" xfId="0" applyNumberFormat="1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3" fontId="64" fillId="0" borderId="3" xfId="0" applyNumberFormat="1" applyFont="1" applyBorder="1" applyAlignment="1">
      <alignment horizontal="right" vertical="center"/>
    </xf>
    <xf numFmtId="3" fontId="55" fillId="0" borderId="3" xfId="0" applyNumberFormat="1" applyFont="1" applyBorder="1" applyAlignment="1">
      <alignment horizontal="right"/>
    </xf>
    <xf numFmtId="0" fontId="70" fillId="0" borderId="3" xfId="76" applyFont="1" applyBorder="1" applyAlignment="1">
      <alignment horizontal="center"/>
    </xf>
    <xf numFmtId="0" fontId="53" fillId="4" borderId="3" xfId="76" applyFont="1" applyFill="1" applyBorder="1"/>
    <xf numFmtId="187" fontId="65" fillId="4" borderId="3" xfId="0" applyNumberFormat="1" applyFont="1" applyFill="1" applyBorder="1" applyAlignment="1">
      <alignment horizontal="right" vertical="center" wrapText="1"/>
    </xf>
    <xf numFmtId="0" fontId="64" fillId="0" borderId="3" xfId="0" applyFont="1" applyBorder="1" applyAlignment="1">
      <alignment horizontal="center" vertical="center"/>
    </xf>
    <xf numFmtId="9" fontId="66" fillId="0" borderId="3" xfId="0" applyNumberFormat="1" applyFont="1" applyBorder="1"/>
    <xf numFmtId="0" fontId="55" fillId="4" borderId="3" xfId="0" applyFont="1" applyFill="1" applyBorder="1" applyAlignment="1">
      <alignment horizontal="center" vertical="center"/>
    </xf>
    <xf numFmtId="188" fontId="55" fillId="0" borderId="3" xfId="0" applyNumberFormat="1" applyFont="1" applyBorder="1" applyAlignment="1">
      <alignment horizontal="center" vertical="center"/>
    </xf>
    <xf numFmtId="3" fontId="55" fillId="0" borderId="3" xfId="0" applyNumberFormat="1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3" fontId="55" fillId="0" borderId="3" xfId="0" applyNumberFormat="1" applyFont="1" applyBorder="1" applyAlignment="1">
      <alignment horizontal="right" vertical="center"/>
    </xf>
    <xf numFmtId="3" fontId="71" fillId="0" borderId="3" xfId="0" applyNumberFormat="1" applyFont="1" applyBorder="1" applyAlignment="1">
      <alignment horizontal="center" vertical="center"/>
    </xf>
    <xf numFmtId="187" fontId="55" fillId="4" borderId="3" xfId="0" applyNumberFormat="1" applyFont="1" applyFill="1" applyBorder="1" applyAlignment="1">
      <alignment horizontal="right" wrapText="1"/>
    </xf>
    <xf numFmtId="188" fontId="55" fillId="0" borderId="3" xfId="0" applyNumberFormat="1" applyFont="1" applyBorder="1" applyAlignment="1">
      <alignment horizontal="right" wrapText="1"/>
    </xf>
    <xf numFmtId="188" fontId="64" fillId="0" borderId="3" xfId="0" applyNumberFormat="1" applyFont="1" applyBorder="1" applyAlignment="1">
      <alignment horizontal="center"/>
    </xf>
    <xf numFmtId="3" fontId="64" fillId="0" borderId="3" xfId="0" applyNumberFormat="1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3" fontId="64" fillId="0" borderId="3" xfId="0" applyNumberFormat="1" applyFont="1" applyBorder="1" applyAlignment="1">
      <alignment horizontal="right"/>
    </xf>
    <xf numFmtId="0" fontId="65" fillId="0" borderId="3" xfId="0" applyFont="1" applyBorder="1" applyAlignment="1">
      <alignment horizontal="center" wrapText="1"/>
    </xf>
    <xf numFmtId="0" fontId="9" fillId="4" borderId="5" xfId="76" applyFont="1" applyFill="1" applyBorder="1"/>
    <xf numFmtId="0" fontId="53" fillId="4" borderId="5" xfId="76" applyFont="1" applyFill="1" applyBorder="1" applyAlignment="1">
      <alignment horizontal="center"/>
    </xf>
    <xf numFmtId="3" fontId="72" fillId="4" borderId="3" xfId="0" applyNumberFormat="1" applyFont="1" applyFill="1" applyBorder="1" applyAlignment="1">
      <alignment horizontal="center"/>
    </xf>
    <xf numFmtId="3" fontId="64" fillId="4" borderId="3" xfId="0" applyNumberFormat="1" applyFont="1" applyFill="1" applyBorder="1" applyAlignment="1">
      <alignment horizontal="right" vertical="center"/>
    </xf>
    <xf numFmtId="0" fontId="70" fillId="3" borderId="3" xfId="76" applyFont="1" applyFill="1" applyBorder="1" applyAlignment="1">
      <alignment horizontal="center"/>
    </xf>
    <xf numFmtId="187" fontId="72" fillId="4" borderId="3" xfId="0" applyNumberFormat="1" applyFont="1" applyFill="1" applyBorder="1" applyAlignment="1">
      <alignment horizontal="center"/>
    </xf>
    <xf numFmtId="3" fontId="59" fillId="4" borderId="0" xfId="0" applyNumberFormat="1" applyFont="1" applyFill="1" applyBorder="1" applyAlignment="1">
      <alignment horizontal="right"/>
    </xf>
    <xf numFmtId="0" fontId="57" fillId="4" borderId="3" xfId="0" applyFont="1" applyFill="1" applyBorder="1" applyAlignment="1">
      <alignment horizontal="center" vertical="center" wrapText="1"/>
    </xf>
    <xf numFmtId="0" fontId="75" fillId="0" borderId="0" xfId="0" applyFont="1" applyAlignment="1"/>
    <xf numFmtId="0" fontId="74" fillId="0" borderId="0" xfId="0" applyFont="1"/>
    <xf numFmtId="0" fontId="76" fillId="0" borderId="0" xfId="0" applyFont="1" applyAlignment="1">
      <alignment horizontal="center"/>
    </xf>
    <xf numFmtId="0" fontId="81" fillId="0" borderId="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/>
    </xf>
    <xf numFmtId="0" fontId="74" fillId="0" borderId="3" xfId="0" applyFont="1" applyBorder="1"/>
    <xf numFmtId="0" fontId="80" fillId="0" borderId="3" xfId="0" applyFont="1" applyBorder="1"/>
    <xf numFmtId="41" fontId="81" fillId="0" borderId="3" xfId="0" applyNumberFormat="1" applyFont="1" applyBorder="1"/>
    <xf numFmtId="0" fontId="80" fillId="0" borderId="3" xfId="0" applyFont="1" applyBorder="1" applyAlignment="1">
      <alignment horizontal="center"/>
    </xf>
    <xf numFmtId="0" fontId="39" fillId="3" borderId="7" xfId="76" applyFont="1" applyFill="1" applyBorder="1" applyAlignment="1">
      <alignment horizontal="left" vertical="center"/>
    </xf>
    <xf numFmtId="3" fontId="83" fillId="3" borderId="3" xfId="75" applyNumberFormat="1" applyFont="1" applyFill="1" applyBorder="1" applyAlignment="1">
      <alignment horizontal="center"/>
    </xf>
    <xf numFmtId="0" fontId="55" fillId="0" borderId="3" xfId="0" applyFont="1" applyBorder="1"/>
    <xf numFmtId="41" fontId="74" fillId="0" borderId="3" xfId="0" applyNumberFormat="1" applyFont="1" applyBorder="1"/>
    <xf numFmtId="3" fontId="3" fillId="0" borderId="3" xfId="0" applyNumberFormat="1" applyFont="1" applyBorder="1" applyAlignment="1">
      <alignment horizontal="right" vertical="center"/>
    </xf>
    <xf numFmtId="0" fontId="39" fillId="0" borderId="3" xfId="0" applyFont="1" applyBorder="1"/>
    <xf numFmtId="3" fontId="74" fillId="0" borderId="3" xfId="0" applyNumberFormat="1" applyFont="1" applyBorder="1"/>
    <xf numFmtId="3" fontId="83" fillId="0" borderId="3" xfId="75" applyNumberFormat="1" applyFont="1" applyBorder="1" applyAlignment="1">
      <alignment horizontal="center"/>
    </xf>
    <xf numFmtId="0" fontId="39" fillId="0" borderId="3" xfId="0" applyFont="1" applyFill="1" applyBorder="1"/>
    <xf numFmtId="3" fontId="83" fillId="3" borderId="3" xfId="0" applyNumberFormat="1" applyFont="1" applyFill="1" applyBorder="1" applyAlignment="1">
      <alignment horizontal="center"/>
    </xf>
    <xf numFmtId="3" fontId="74" fillId="0" borderId="3" xfId="0" applyNumberFormat="1" applyFont="1" applyBorder="1" applyAlignment="1">
      <alignment horizontal="right" vertical="center"/>
    </xf>
    <xf numFmtId="3" fontId="83" fillId="0" borderId="3" xfId="0" applyNumberFormat="1" applyFont="1" applyBorder="1" applyAlignment="1">
      <alignment horizontal="center"/>
    </xf>
    <xf numFmtId="0" fontId="83" fillId="0" borderId="3" xfId="0" applyFont="1" applyBorder="1"/>
    <xf numFmtId="3" fontId="3" fillId="4" borderId="3" xfId="0" applyNumberFormat="1" applyFont="1" applyFill="1" applyBorder="1" applyAlignment="1">
      <alignment horizontal="right" vertical="center"/>
    </xf>
    <xf numFmtId="3" fontId="83" fillId="0" borderId="3" xfId="75" applyNumberFormat="1" applyFont="1" applyFill="1" applyBorder="1" applyAlignment="1">
      <alignment horizontal="center"/>
    </xf>
    <xf numFmtId="0" fontId="55" fillId="0" borderId="3" xfId="0" applyFont="1" applyBorder="1" applyAlignment="1">
      <alignment vertical="center" wrapText="1"/>
    </xf>
    <xf numFmtId="0" fontId="81" fillId="0" borderId="3" xfId="0" applyFont="1" applyBorder="1"/>
    <xf numFmtId="3" fontId="74" fillId="3" borderId="3" xfId="0" applyNumberFormat="1" applyFont="1" applyFill="1" applyBorder="1"/>
    <xf numFmtId="0" fontId="80" fillId="0" borderId="4" xfId="0" applyFont="1" applyBorder="1" applyAlignment="1"/>
    <xf numFmtId="0" fontId="80" fillId="0" borderId="6" xfId="0" applyFont="1" applyBorder="1" applyAlignment="1"/>
    <xf numFmtId="0" fontId="6" fillId="0" borderId="0" xfId="0" applyFont="1" applyAlignment="1"/>
    <xf numFmtId="0" fontId="74" fillId="0" borderId="0" xfId="0" applyFont="1" applyAlignment="1"/>
    <xf numFmtId="3" fontId="80" fillId="3" borderId="0" xfId="0" applyNumberFormat="1" applyFont="1" applyFill="1" applyBorder="1"/>
    <xf numFmtId="0" fontId="39" fillId="0" borderId="0" xfId="0" applyFont="1" applyAlignment="1"/>
    <xf numFmtId="3" fontId="74" fillId="3" borderId="0" xfId="0" applyNumberFormat="1" applyFont="1" applyFill="1" applyBorder="1"/>
    <xf numFmtId="0" fontId="7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3" fontId="39" fillId="0" borderId="0" xfId="0" applyNumberFormat="1" applyFont="1" applyAlignment="1"/>
    <xf numFmtId="3" fontId="80" fillId="0" borderId="0" xfId="0" applyNumberFormat="1" applyFont="1" applyAlignment="1"/>
    <xf numFmtId="0" fontId="9" fillId="0" borderId="3" xfId="0" applyFont="1" applyBorder="1"/>
    <xf numFmtId="0" fontId="57" fillId="4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8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3" fontId="74" fillId="0" borderId="0" xfId="0" applyNumberFormat="1" applyFont="1" applyAlignment="1"/>
    <xf numFmtId="0" fontId="74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 vertical="center" wrapText="1"/>
    </xf>
    <xf numFmtId="3" fontId="7" fillId="0" borderId="0" xfId="0" applyNumberFormat="1" applyFont="1" applyAlignment="1"/>
    <xf numFmtId="0" fontId="7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3" fontId="55" fillId="0" borderId="3" xfId="0" applyNumberFormat="1" applyFont="1" applyBorder="1" applyAlignment="1">
      <alignment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3" fontId="86" fillId="4" borderId="3" xfId="0" applyNumberFormat="1" applyFont="1" applyFill="1" applyBorder="1" applyAlignment="1">
      <alignment horizontal="center"/>
    </xf>
    <xf numFmtId="0" fontId="57" fillId="4" borderId="3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6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3" fontId="86" fillId="4" borderId="0" xfId="0" applyNumberFormat="1" applyFont="1" applyFill="1" applyBorder="1" applyAlignment="1">
      <alignment horizontal="center"/>
    </xf>
    <xf numFmtId="0" fontId="80" fillId="0" borderId="0" xfId="0" applyFont="1" applyAlignment="1"/>
    <xf numFmtId="0" fontId="57" fillId="4" borderId="3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57" fillId="4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83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85" fillId="0" borderId="0" xfId="0" applyFont="1" applyAlignment="1"/>
    <xf numFmtId="0" fontId="83" fillId="0" borderId="0" xfId="0" applyFont="1" applyAlignment="1">
      <alignment horizontal="left"/>
    </xf>
    <xf numFmtId="0" fontId="57" fillId="4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57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41" fontId="0" fillId="0" borderId="0" xfId="0" applyNumberFormat="1"/>
    <xf numFmtId="0" fontId="7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63" fillId="0" borderId="0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85" fillId="0" borderId="0" xfId="0" applyFont="1" applyAlignment="1">
      <alignment horizontal="left"/>
    </xf>
    <xf numFmtId="186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80" fillId="0" borderId="5" xfId="0" applyFont="1" applyBorder="1" applyAlignment="1">
      <alignment horizontal="center" vertical="center" wrapText="1"/>
    </xf>
    <xf numFmtId="0" fontId="80" fillId="0" borderId="7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7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1" fillId="0" borderId="6" xfId="0" applyFont="1" applyBorder="1" applyAlignment="1">
      <alignment horizontal="center"/>
    </xf>
    <xf numFmtId="0" fontId="73" fillId="0" borderId="0" xfId="0" applyFont="1" applyAlignment="1"/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7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8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1" xfId="9"/>
    <cellStyle name="2" xfId="10"/>
    <cellStyle name="3" xfId="11"/>
    <cellStyle name="4" xfId="12"/>
    <cellStyle name="ÅëÈ­ [0]_¿ì¹°Åë" xfId="13"/>
    <cellStyle name="AeE­ [0]_INQUIRY ¿µ¾÷AßAø " xfId="14"/>
    <cellStyle name="ÅëÈ­ [0]_Sheet1" xfId="15"/>
    <cellStyle name="ÅëÈ­_¿ì¹°Åë" xfId="16"/>
    <cellStyle name="AeE­_INQUIRY ¿µ¾÷AßAø " xfId="17"/>
    <cellStyle name="ÅëÈ­_Sheet1" xfId="18"/>
    <cellStyle name="ÄÞ¸¶ [0]_¿ì¹°Åë" xfId="19"/>
    <cellStyle name="AÞ¸¶ [0]_INQUIRY ¿?¾÷AßAø " xfId="20"/>
    <cellStyle name="ÄÞ¸¶ [0]_Sheet1" xfId="21"/>
    <cellStyle name="ÄÞ¸¶_¿ì¹°Åë" xfId="22"/>
    <cellStyle name="AÞ¸¶_INQUIRY ¿?¾÷AßAø " xfId="23"/>
    <cellStyle name="ÄÞ¸¶_Sheet1" xfId="24"/>
    <cellStyle name="BILL제목" xfId="25"/>
    <cellStyle name="C?AØ_¿?¾÷CoE² " xfId="26"/>
    <cellStyle name="Ç¥ÁØ_´çÃÊ±¸ÀÔ»ý»ê" xfId="27"/>
    <cellStyle name="C￥AØ_¿μ¾÷CoE² " xfId="28"/>
    <cellStyle name="Ç¥ÁØ_±³°¢¼ö·®" xfId="29"/>
    <cellStyle name="Comma" xfId="75" builtinId="3"/>
    <cellStyle name="Comma 2" xfId="79"/>
    <cellStyle name="Comma0" xfId="30"/>
    <cellStyle name="Currency0" xfId="31"/>
    <cellStyle name="Date" xfId="32"/>
    <cellStyle name="Dg" xfId="33"/>
    <cellStyle name="Fixed" xfId="34"/>
    <cellStyle name="Grey" xfId="35"/>
    <cellStyle name="Header1" xfId="36"/>
    <cellStyle name="Header2" xfId="37"/>
    <cellStyle name="Hoa-Scholl" xfId="38"/>
    <cellStyle name="Input [yellow]" xfId="39"/>
    <cellStyle name="Millares [0]_Well Timing" xfId="40"/>
    <cellStyle name="Millares_Well Timing" xfId="41"/>
    <cellStyle name="Moneda [0]_Well Timing" xfId="42"/>
    <cellStyle name="Moneda_Well Timing" xfId="43"/>
    <cellStyle name="n" xfId="44"/>
    <cellStyle name="Normal" xfId="0" builtinId="0"/>
    <cellStyle name="Normal - Style1" xfId="45"/>
    <cellStyle name="Normal 3" xfId="77"/>
    <cellStyle name="Normal_Sheet1" xfId="76"/>
    <cellStyle name="Œ…‹æØ‚è [0.00]_ÆÂ¹²" xfId="46"/>
    <cellStyle name="Percent" xfId="80" builtinId="5"/>
    <cellStyle name="Percent [2]" xfId="47"/>
    <cellStyle name="Percent 2" xfId="78"/>
    <cellStyle name="Siêu nối kết_Book1" xfId="48"/>
    <cellStyle name="T" xfId="49"/>
    <cellStyle name="T_122017 (2)" xfId="50"/>
    <cellStyle name="th" xfId="51"/>
    <cellStyle name="viet" xfId="52"/>
    <cellStyle name="viet2" xfId="53"/>
    <cellStyle name="xuan" xfId="54"/>
    <cellStyle name=" [0.00]_ Att. 1- Cover" xfId="72"/>
    <cellStyle name="_ Att. 1- Cover" xfId="73"/>
    <cellStyle name="?_ Att. 1- Cover" xfId="74"/>
    <cellStyle name="똿뗦먛귟 [0.00]_PRODUCT DETAIL Q1" xfId="55"/>
    <cellStyle name="똿뗦먛귟_PRODUCT DETAIL Q1" xfId="56"/>
    <cellStyle name="믅됞 [0.00]_PRODUCT DETAIL Q1" xfId="57"/>
    <cellStyle name="믅됞_PRODUCT DETAIL Q1" xfId="58"/>
    <cellStyle name="백분율_95" xfId="59"/>
    <cellStyle name="뷭?_BOOKSHIP" xfId="60"/>
    <cellStyle name="콤마 [0]_1202" xfId="64"/>
    <cellStyle name="콤마_1202" xfId="65"/>
    <cellStyle name="통화 [0]_1202" xfId="66"/>
    <cellStyle name="통화_1202" xfId="67"/>
    <cellStyle name="표준_(정보부문)월별인원계획" xfId="68"/>
    <cellStyle name="一般_00Q3902REV.1" xfId="61"/>
    <cellStyle name="千分位[0]_00Q3902REV.1" xfId="62"/>
    <cellStyle name="千分位_00Q3902REV.1" xfId="63"/>
    <cellStyle name="貨幣 [0]_00Q3902REV.1" xfId="69"/>
    <cellStyle name="貨幣[0]_BRE" xfId="70"/>
    <cellStyle name="貨幣_00Q3902REV.1" xfId="71"/>
  </cellStyles>
  <dxfs count="18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8"/>
  <sheetViews>
    <sheetView topLeftCell="A717" workbookViewId="0">
      <selection activeCell="U788" sqref="U788"/>
    </sheetView>
  </sheetViews>
  <sheetFormatPr defaultRowHeight="15"/>
  <cols>
    <col min="1" max="1" width="3.42578125" customWidth="1"/>
    <col min="2" max="2" width="6.42578125" customWidth="1"/>
    <col min="3" max="3" width="17.7109375" customWidth="1"/>
    <col min="4" max="4" width="4.42578125" customWidth="1"/>
    <col min="5" max="5" width="6.85546875" customWidth="1"/>
    <col min="6" max="6" width="5" customWidth="1"/>
    <col min="7" max="7" width="4.7109375" customWidth="1"/>
    <col min="8" max="8" width="5" customWidth="1"/>
    <col min="9" max="9" width="5.7109375" customWidth="1"/>
    <col min="10" max="10" width="6.28515625" customWidth="1"/>
    <col min="11" max="11" width="7.140625" customWidth="1"/>
    <col min="12" max="12" width="9.42578125" customWidth="1"/>
    <col min="13" max="13" width="6.28515625" customWidth="1"/>
    <col min="14" max="14" width="5.5703125" customWidth="1"/>
    <col min="15" max="16" width="9.42578125" customWidth="1"/>
    <col min="17" max="17" width="8.42578125" customWidth="1"/>
    <col min="18" max="18" width="9.28515625" customWidth="1"/>
    <col min="19" max="19" width="9.85546875" customWidth="1"/>
    <col min="20" max="20" width="3.42578125" customWidth="1"/>
    <col min="21" max="21" width="3" customWidth="1"/>
    <col min="22" max="22" width="13.28515625" customWidth="1"/>
    <col min="24" max="24" width="15.7109375" bestFit="1" customWidth="1"/>
  </cols>
  <sheetData>
    <row r="1" spans="1:20" ht="15.75" customHeight="1">
      <c r="A1" s="227" t="s">
        <v>55</v>
      </c>
      <c r="B1" s="227"/>
      <c r="C1" s="227"/>
      <c r="D1" s="227"/>
      <c r="E1" s="227"/>
      <c r="F1" s="227"/>
      <c r="G1" s="227"/>
      <c r="H1" s="227"/>
      <c r="I1" s="19"/>
      <c r="J1" s="17"/>
      <c r="Q1" s="228" t="s">
        <v>99</v>
      </c>
      <c r="R1" s="228"/>
      <c r="S1" s="228"/>
    </row>
    <row r="2" spans="1:20" ht="15" customHeight="1">
      <c r="A2" s="229" t="s">
        <v>67</v>
      </c>
      <c r="B2" s="229"/>
      <c r="C2" s="229"/>
      <c r="D2" s="229"/>
      <c r="E2" s="229"/>
      <c r="F2" s="229"/>
      <c r="G2" s="229"/>
      <c r="H2" s="9"/>
      <c r="I2" s="19"/>
      <c r="J2" s="17"/>
      <c r="R2" s="230" t="s">
        <v>68</v>
      </c>
      <c r="S2" s="230"/>
    </row>
    <row r="3" spans="1:20" ht="18.75" customHeight="1">
      <c r="A3" s="227" t="s">
        <v>56</v>
      </c>
      <c r="B3" s="227"/>
      <c r="C3" s="227"/>
      <c r="D3" s="227"/>
      <c r="E3" s="227"/>
      <c r="F3" s="227"/>
      <c r="G3" s="227"/>
      <c r="H3" s="9"/>
      <c r="I3" s="19"/>
      <c r="J3" s="17"/>
      <c r="R3" s="29" t="s">
        <v>63</v>
      </c>
    </row>
    <row r="4" spans="1:20" ht="20.25">
      <c r="A4" s="231" t="s">
        <v>76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0" ht="18.75">
      <c r="A5" s="232" t="s">
        <v>98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1:20" ht="17.25" customHeight="1">
      <c r="A6" s="225" t="s">
        <v>0</v>
      </c>
      <c r="B6" s="226" t="s">
        <v>1</v>
      </c>
      <c r="C6" s="226" t="s">
        <v>2</v>
      </c>
      <c r="D6" s="226" t="s">
        <v>3</v>
      </c>
      <c r="E6" s="226" t="s">
        <v>20</v>
      </c>
      <c r="F6" s="226"/>
      <c r="G6" s="226"/>
      <c r="H6" s="226"/>
      <c r="I6" s="226"/>
      <c r="J6" s="226"/>
      <c r="K6" s="226"/>
      <c r="L6" s="226"/>
      <c r="M6" s="233" t="s">
        <v>9</v>
      </c>
      <c r="N6" s="233" t="s">
        <v>11</v>
      </c>
      <c r="O6" s="226" t="s">
        <v>12</v>
      </c>
      <c r="P6" s="234" t="s">
        <v>13</v>
      </c>
      <c r="Q6" s="235"/>
      <c r="R6" s="236"/>
      <c r="S6" s="226" t="s">
        <v>15</v>
      </c>
      <c r="T6" s="218" t="s">
        <v>57</v>
      </c>
    </row>
    <row r="7" spans="1:20" ht="15" customHeight="1">
      <c r="A7" s="225"/>
      <c r="B7" s="226"/>
      <c r="C7" s="226"/>
      <c r="D7" s="226"/>
      <c r="E7" s="221" t="s">
        <v>4</v>
      </c>
      <c r="F7" s="222" t="s">
        <v>5</v>
      </c>
      <c r="G7" s="223" t="s">
        <v>6</v>
      </c>
      <c r="H7" s="223"/>
      <c r="I7" s="223"/>
      <c r="J7" s="223"/>
      <c r="K7" s="224" t="s">
        <v>7</v>
      </c>
      <c r="L7" s="224" t="s">
        <v>8</v>
      </c>
      <c r="M7" s="233"/>
      <c r="N7" s="233"/>
      <c r="O7" s="226"/>
      <c r="P7" s="225" t="s">
        <v>10</v>
      </c>
      <c r="Q7" s="226" t="s">
        <v>85</v>
      </c>
      <c r="R7" s="225" t="s">
        <v>14</v>
      </c>
      <c r="S7" s="226"/>
      <c r="T7" s="219"/>
    </row>
    <row r="8" spans="1:20" ht="68.25" customHeight="1">
      <c r="A8" s="225"/>
      <c r="B8" s="226"/>
      <c r="C8" s="226"/>
      <c r="D8" s="226"/>
      <c r="E8" s="221"/>
      <c r="F8" s="222"/>
      <c r="G8" s="45" t="s">
        <v>26</v>
      </c>
      <c r="H8" s="45" t="s">
        <v>86</v>
      </c>
      <c r="I8" s="20" t="s">
        <v>24</v>
      </c>
      <c r="J8" s="18" t="s">
        <v>25</v>
      </c>
      <c r="K8" s="224"/>
      <c r="L8" s="224"/>
      <c r="M8" s="233"/>
      <c r="N8" s="233"/>
      <c r="O8" s="226"/>
      <c r="P8" s="225"/>
      <c r="Q8" s="226"/>
      <c r="R8" s="225"/>
      <c r="S8" s="226"/>
      <c r="T8" s="220"/>
    </row>
    <row r="9" spans="1:20">
      <c r="A9" s="4" t="s">
        <v>16</v>
      </c>
      <c r="B9" s="4" t="s">
        <v>17</v>
      </c>
      <c r="C9" s="4" t="s">
        <v>18</v>
      </c>
      <c r="D9" s="4" t="s">
        <v>19</v>
      </c>
      <c r="E9" s="13">
        <v>1</v>
      </c>
      <c r="F9" s="13">
        <v>2</v>
      </c>
      <c r="G9" s="13">
        <v>3</v>
      </c>
      <c r="H9" s="13">
        <v>4</v>
      </c>
      <c r="I9" s="13">
        <v>5</v>
      </c>
      <c r="J9" s="23">
        <v>6</v>
      </c>
      <c r="K9" s="4">
        <v>7</v>
      </c>
      <c r="L9" s="4">
        <v>8</v>
      </c>
      <c r="M9" s="4">
        <v>9</v>
      </c>
      <c r="N9" s="4">
        <v>10</v>
      </c>
      <c r="O9" s="30" t="s">
        <v>87</v>
      </c>
      <c r="P9" s="30">
        <v>12</v>
      </c>
      <c r="Q9" s="30">
        <v>13</v>
      </c>
      <c r="R9" s="30">
        <v>14</v>
      </c>
      <c r="S9" s="30" t="s">
        <v>88</v>
      </c>
      <c r="T9" s="2"/>
    </row>
    <row r="10" spans="1:20" ht="15" customHeight="1">
      <c r="A10" s="21">
        <v>1</v>
      </c>
      <c r="B10" s="39" t="s">
        <v>89</v>
      </c>
      <c r="C10" s="42" t="s">
        <v>60</v>
      </c>
      <c r="D10" s="46" t="s">
        <v>61</v>
      </c>
      <c r="E10" s="47">
        <v>5.0199999999999996</v>
      </c>
      <c r="F10" s="47">
        <v>0.35</v>
      </c>
      <c r="G10" s="25"/>
      <c r="H10" s="22"/>
      <c r="I10" s="48">
        <f>(E10+F10+G10)*23/100</f>
        <v>1.2350999999999999</v>
      </c>
      <c r="J10" s="49">
        <f>30/100*(E10+F10+G10)</f>
        <v>1.6109999999999998</v>
      </c>
      <c r="K10" s="50">
        <f>E10+F10+G10+H10+I10+J10</f>
        <v>8.2160999999999991</v>
      </c>
      <c r="L10" s="51">
        <f>K10*1490000</f>
        <v>12241988.999999998</v>
      </c>
      <c r="M10" s="52"/>
      <c r="N10" s="52"/>
      <c r="O10" s="51">
        <f>L10-M10+N10</f>
        <v>12241988.999999998</v>
      </c>
      <c r="P10" s="53">
        <f>((E10+F10+G10+I10)*1490000-M10)*10.5%</f>
        <v>1033367.8949999998</v>
      </c>
      <c r="Q10" s="54"/>
      <c r="R10" s="53">
        <f>P10+Q10</f>
        <v>1033367.8949999998</v>
      </c>
      <c r="S10" s="53">
        <f t="shared" ref="S10:S15" si="0">O10-R10</f>
        <v>11208621.104999999</v>
      </c>
      <c r="T10" s="41"/>
    </row>
    <row r="11" spans="1:20" ht="15" customHeight="1">
      <c r="A11" s="21">
        <v>2</v>
      </c>
      <c r="B11" s="39" t="s">
        <v>21</v>
      </c>
      <c r="C11" s="40" t="s">
        <v>28</v>
      </c>
      <c r="D11" s="55" t="s">
        <v>27</v>
      </c>
      <c r="E11" s="24">
        <v>4.9800000000000004</v>
      </c>
      <c r="F11" s="56"/>
      <c r="G11" s="57">
        <f>E11*6%</f>
        <v>0.29880000000000001</v>
      </c>
      <c r="H11" s="10"/>
      <c r="I11" s="48">
        <f>(E11+F11+G11)*25/100</f>
        <v>1.3197000000000001</v>
      </c>
      <c r="J11" s="49">
        <f>30/100*(E11+F11+G11)</f>
        <v>1.5836400000000002</v>
      </c>
      <c r="K11" s="50">
        <f>E11+F11+G11+H11+I11+J11</f>
        <v>8.1821400000000004</v>
      </c>
      <c r="L11" s="51">
        <f>K11*1490000</f>
        <v>12191388.600000001</v>
      </c>
      <c r="M11" s="58"/>
      <c r="N11" s="58"/>
      <c r="O11" s="51">
        <f>L11-M11+N11</f>
        <v>12191388.600000001</v>
      </c>
      <c r="P11" s="53">
        <f>((E11+F11+G11+I11)*1490000-M11)*10.5%</f>
        <v>1032335.325</v>
      </c>
      <c r="Q11" s="54"/>
      <c r="R11" s="53">
        <f t="shared" ref="R11:R46" si="1">P11+Q11</f>
        <v>1032335.325</v>
      </c>
      <c r="S11" s="53">
        <f t="shared" si="0"/>
        <v>11159053.275000002</v>
      </c>
      <c r="T11" s="59">
        <v>0.06</v>
      </c>
    </row>
    <row r="12" spans="1:20" ht="15" customHeight="1">
      <c r="A12" s="21">
        <v>3</v>
      </c>
      <c r="B12" s="39" t="s">
        <v>22</v>
      </c>
      <c r="C12" s="40" t="s">
        <v>30</v>
      </c>
      <c r="D12" s="55" t="s">
        <v>90</v>
      </c>
      <c r="E12" s="24">
        <v>4.8899999999999997</v>
      </c>
      <c r="F12" s="47">
        <v>0.15</v>
      </c>
      <c r="G12" s="57"/>
      <c r="H12" s="10"/>
      <c r="I12" s="48">
        <f>(E12+F12+G12)*31/100</f>
        <v>1.5624</v>
      </c>
      <c r="J12" s="49">
        <f>30/100*(E12+F12+G12)</f>
        <v>1.512</v>
      </c>
      <c r="K12" s="50">
        <f t="shared" ref="K12:K40" si="2">E12+F12+G12+H12+I12+J12</f>
        <v>8.1143999999999998</v>
      </c>
      <c r="L12" s="51">
        <f t="shared" ref="L12:L42" si="3">K12*1490000</f>
        <v>12090456</v>
      </c>
      <c r="M12" s="58"/>
      <c r="N12" s="58"/>
      <c r="O12" s="51">
        <f t="shared" ref="O12:O29" si="4">L12-M12+N12</f>
        <v>12090456</v>
      </c>
      <c r="P12" s="53">
        <f t="shared" ref="P12:P19" si="5">((E12+F12+G12+I12)*1490000-M12)*10.5%</f>
        <v>1032945.48</v>
      </c>
      <c r="Q12" s="54"/>
      <c r="R12" s="53">
        <f t="shared" si="1"/>
        <v>1032945.48</v>
      </c>
      <c r="S12" s="53">
        <f>O12-R12</f>
        <v>11057510.52</v>
      </c>
      <c r="T12" s="2"/>
    </row>
    <row r="13" spans="1:20" ht="15" customHeight="1">
      <c r="A13" s="21">
        <v>4</v>
      </c>
      <c r="B13" s="39" t="s">
        <v>21</v>
      </c>
      <c r="C13" s="40" t="s">
        <v>32</v>
      </c>
      <c r="D13" s="55" t="s">
        <v>29</v>
      </c>
      <c r="E13" s="24">
        <v>4.9800000000000004</v>
      </c>
      <c r="F13" s="47">
        <v>0.2</v>
      </c>
      <c r="G13" s="57">
        <f>E13*5%</f>
        <v>0.24900000000000003</v>
      </c>
      <c r="H13" s="10"/>
      <c r="I13" s="48">
        <f>(E13+F13+G13)*23%</f>
        <v>1.2486700000000002</v>
      </c>
      <c r="J13" s="49">
        <f t="shared" ref="J13" si="6">30/100*(E13+F13+G13)</f>
        <v>1.6287</v>
      </c>
      <c r="K13" s="50">
        <f t="shared" si="2"/>
        <v>8.3063700000000011</v>
      </c>
      <c r="L13" s="51">
        <f t="shared" si="3"/>
        <v>12376491.300000003</v>
      </c>
      <c r="M13" s="58"/>
      <c r="N13" s="58"/>
      <c r="O13" s="51">
        <f t="shared" si="4"/>
        <v>12376491.300000003</v>
      </c>
      <c r="P13" s="53">
        <f t="shared" si="5"/>
        <v>1044721.4715</v>
      </c>
      <c r="Q13" s="54"/>
      <c r="R13" s="53">
        <f t="shared" si="1"/>
        <v>1044721.4715</v>
      </c>
      <c r="S13" s="53">
        <f t="shared" si="0"/>
        <v>11331769.828500003</v>
      </c>
      <c r="T13" s="59">
        <v>0.05</v>
      </c>
    </row>
    <row r="14" spans="1:20" ht="15" customHeight="1">
      <c r="A14" s="21">
        <v>5</v>
      </c>
      <c r="B14" s="39" t="s">
        <v>21</v>
      </c>
      <c r="C14" s="40" t="s">
        <v>82</v>
      </c>
      <c r="D14" s="55" t="s">
        <v>29</v>
      </c>
      <c r="E14" s="24">
        <v>4.9800000000000004</v>
      </c>
      <c r="F14" s="47">
        <v>0.2</v>
      </c>
      <c r="G14" s="57">
        <f>E14*6%</f>
        <v>0.29880000000000001</v>
      </c>
      <c r="H14" s="10"/>
      <c r="I14" s="48">
        <f>(E14+F14+G14)*26%</f>
        <v>1.4244880000000002</v>
      </c>
      <c r="J14" s="49">
        <f>30/100*(E14+F14+G14)</f>
        <v>1.6436400000000002</v>
      </c>
      <c r="K14" s="50">
        <f t="shared" si="2"/>
        <v>8.5469280000000012</v>
      </c>
      <c r="L14" s="51">
        <f t="shared" si="3"/>
        <v>12734922.720000003</v>
      </c>
      <c r="M14" s="58"/>
      <c r="N14" s="58"/>
      <c r="O14" s="51">
        <f t="shared" si="4"/>
        <v>12734922.720000003</v>
      </c>
      <c r="P14" s="53">
        <f t="shared" si="5"/>
        <v>1080019.4076</v>
      </c>
      <c r="Q14" s="54"/>
      <c r="R14" s="53">
        <f t="shared" si="1"/>
        <v>1080019.4076</v>
      </c>
      <c r="S14" s="53">
        <f t="shared" si="0"/>
        <v>11654903.312400002</v>
      </c>
      <c r="T14" s="59">
        <v>0.06</v>
      </c>
    </row>
    <row r="15" spans="1:20" ht="15" customHeight="1">
      <c r="A15" s="21">
        <v>6</v>
      </c>
      <c r="B15" s="39" t="s">
        <v>21</v>
      </c>
      <c r="C15" s="40" t="s">
        <v>84</v>
      </c>
      <c r="D15" s="55" t="s">
        <v>62</v>
      </c>
      <c r="E15" s="24">
        <v>4.6500000000000004</v>
      </c>
      <c r="F15" s="47">
        <v>0.25</v>
      </c>
      <c r="G15" s="14"/>
      <c r="H15" s="10"/>
      <c r="I15" s="48">
        <f>(E15+F15+G15)*21%</f>
        <v>1.0290000000000001</v>
      </c>
      <c r="J15" s="49">
        <f t="shared" ref="J15" si="7">30/100*(E15+F15+G15)</f>
        <v>1.47</v>
      </c>
      <c r="K15" s="50">
        <f t="shared" si="2"/>
        <v>7.399</v>
      </c>
      <c r="L15" s="51">
        <f t="shared" si="3"/>
        <v>11024510</v>
      </c>
      <c r="M15" s="58"/>
      <c r="N15" s="58"/>
      <c r="O15" s="51">
        <f t="shared" si="4"/>
        <v>11024510</v>
      </c>
      <c r="P15" s="53">
        <f t="shared" si="5"/>
        <v>927592.04999999993</v>
      </c>
      <c r="Q15" s="54"/>
      <c r="R15" s="53">
        <f t="shared" si="1"/>
        <v>927592.04999999993</v>
      </c>
      <c r="S15" s="53">
        <f t="shared" si="0"/>
        <v>10096917.949999999</v>
      </c>
      <c r="T15" s="41"/>
    </row>
    <row r="16" spans="1:20" ht="15" customHeight="1">
      <c r="A16" s="21">
        <v>7</v>
      </c>
      <c r="B16" s="39" t="s">
        <v>22</v>
      </c>
      <c r="C16" s="42" t="s">
        <v>31</v>
      </c>
      <c r="D16" s="55" t="s">
        <v>27</v>
      </c>
      <c r="E16" s="24">
        <v>4.8899999999999997</v>
      </c>
      <c r="F16" s="47"/>
      <c r="G16" s="57"/>
      <c r="H16" s="10"/>
      <c r="I16" s="48">
        <f>(E16+F16+G16)*26/100</f>
        <v>1.2713999999999999</v>
      </c>
      <c r="J16" s="49">
        <f>30/100*(E16+F16+G16)</f>
        <v>1.4669999999999999</v>
      </c>
      <c r="K16" s="50">
        <f t="shared" si="2"/>
        <v>7.6283999999999992</v>
      </c>
      <c r="L16" s="51">
        <f t="shared" si="3"/>
        <v>11366315.999999998</v>
      </c>
      <c r="M16" s="58"/>
      <c r="N16" s="58"/>
      <c r="O16" s="51">
        <f t="shared" si="4"/>
        <v>11366315.999999998</v>
      </c>
      <c r="P16" s="53">
        <f t="shared" si="5"/>
        <v>963951.02999999991</v>
      </c>
      <c r="Q16" s="54"/>
      <c r="R16" s="53">
        <f t="shared" si="1"/>
        <v>963951.02999999991</v>
      </c>
      <c r="S16" s="53">
        <f>O16-R16</f>
        <v>10402364.969999999</v>
      </c>
      <c r="T16" s="41"/>
    </row>
    <row r="17" spans="1:20" ht="15" customHeight="1">
      <c r="A17" s="21">
        <v>8</v>
      </c>
      <c r="B17" s="39" t="s">
        <v>21</v>
      </c>
      <c r="C17" s="26" t="s">
        <v>70</v>
      </c>
      <c r="D17" s="55" t="s">
        <v>27</v>
      </c>
      <c r="E17" s="24">
        <v>4.6500000000000004</v>
      </c>
      <c r="F17" s="47"/>
      <c r="G17" s="14"/>
      <c r="H17" s="10"/>
      <c r="I17" s="48">
        <f>(E17+F17+G17)*22/100</f>
        <v>1.0230000000000001</v>
      </c>
      <c r="J17" s="49">
        <f t="shared" ref="J17:J19" si="8">30/100*(E17+F17+G17)</f>
        <v>1.395</v>
      </c>
      <c r="K17" s="50">
        <f t="shared" si="2"/>
        <v>7.0679999999999996</v>
      </c>
      <c r="L17" s="51">
        <f t="shared" si="3"/>
        <v>10531320</v>
      </c>
      <c r="M17" s="58"/>
      <c r="N17" s="58"/>
      <c r="O17" s="51">
        <f t="shared" si="4"/>
        <v>10531320</v>
      </c>
      <c r="P17" s="53">
        <f t="shared" si="5"/>
        <v>887540.85</v>
      </c>
      <c r="Q17" s="54"/>
      <c r="R17" s="53">
        <f t="shared" si="1"/>
        <v>887540.85</v>
      </c>
      <c r="S17" s="53">
        <f t="shared" ref="S17:S20" si="9">O17-R17</f>
        <v>9643779.1500000004</v>
      </c>
      <c r="T17" s="41"/>
    </row>
    <row r="18" spans="1:20" ht="15" customHeight="1">
      <c r="A18" s="21">
        <v>9</v>
      </c>
      <c r="B18" s="39" t="s">
        <v>21</v>
      </c>
      <c r="C18" s="26" t="s">
        <v>33</v>
      </c>
      <c r="D18" s="55" t="s">
        <v>29</v>
      </c>
      <c r="E18" s="24">
        <v>4.6500000000000004</v>
      </c>
      <c r="F18" s="47">
        <v>0.2</v>
      </c>
      <c r="G18" s="14"/>
      <c r="H18" s="10"/>
      <c r="I18" s="48">
        <f>(E18+F18+G18)*21/100</f>
        <v>1.0185000000000002</v>
      </c>
      <c r="J18" s="49">
        <f t="shared" si="8"/>
        <v>1.4550000000000001</v>
      </c>
      <c r="K18" s="50">
        <f t="shared" si="2"/>
        <v>7.323500000000001</v>
      </c>
      <c r="L18" s="51">
        <f t="shared" si="3"/>
        <v>10912015.000000002</v>
      </c>
      <c r="M18" s="58"/>
      <c r="N18" s="58"/>
      <c r="O18" s="51">
        <f t="shared" si="4"/>
        <v>10912015.000000002</v>
      </c>
      <c r="P18" s="53">
        <f t="shared" si="5"/>
        <v>918126.82500000019</v>
      </c>
      <c r="Q18" s="54"/>
      <c r="R18" s="53">
        <f t="shared" si="1"/>
        <v>918126.82500000019</v>
      </c>
      <c r="S18" s="53">
        <f t="shared" si="9"/>
        <v>9993888.1750000007</v>
      </c>
      <c r="T18" s="41"/>
    </row>
    <row r="19" spans="1:20" ht="15" customHeight="1">
      <c r="A19" s="21">
        <v>10</v>
      </c>
      <c r="B19" s="39" t="s">
        <v>21</v>
      </c>
      <c r="C19" s="26" t="s">
        <v>34</v>
      </c>
      <c r="D19" s="55" t="s">
        <v>27</v>
      </c>
      <c r="E19" s="24">
        <v>4.32</v>
      </c>
      <c r="F19" s="47"/>
      <c r="G19" s="14"/>
      <c r="H19" s="10"/>
      <c r="I19" s="48">
        <f>(E19+F19+G19)*18/100</f>
        <v>0.77760000000000007</v>
      </c>
      <c r="J19" s="49">
        <f t="shared" si="8"/>
        <v>1.296</v>
      </c>
      <c r="K19" s="50">
        <f t="shared" si="2"/>
        <v>6.3936000000000002</v>
      </c>
      <c r="L19" s="51">
        <f t="shared" si="3"/>
        <v>9526464</v>
      </c>
      <c r="M19" s="58"/>
      <c r="N19" s="58"/>
      <c r="O19" s="51">
        <f t="shared" si="4"/>
        <v>9526464</v>
      </c>
      <c r="P19" s="53">
        <f t="shared" si="5"/>
        <v>797519.52</v>
      </c>
      <c r="Q19" s="54"/>
      <c r="R19" s="53">
        <f t="shared" si="1"/>
        <v>797519.52</v>
      </c>
      <c r="S19" s="53">
        <f t="shared" si="9"/>
        <v>8728944.4800000004</v>
      </c>
      <c r="T19" s="41"/>
    </row>
    <row r="20" spans="1:20" ht="15" customHeight="1">
      <c r="A20" s="21">
        <v>11</v>
      </c>
      <c r="B20" s="39" t="s">
        <v>21</v>
      </c>
      <c r="C20" s="42" t="s">
        <v>36</v>
      </c>
      <c r="D20" s="55" t="s">
        <v>29</v>
      </c>
      <c r="E20" s="24">
        <v>4.32</v>
      </c>
      <c r="F20" s="47">
        <v>0.2</v>
      </c>
      <c r="G20" s="33"/>
      <c r="H20" s="35"/>
      <c r="I20" s="48">
        <f>(E20+F20+G20)*19%</f>
        <v>0.85880000000000012</v>
      </c>
      <c r="J20" s="49">
        <f>30/100*(E20+F20+G20)</f>
        <v>1.3560000000000001</v>
      </c>
      <c r="K20" s="50">
        <f t="shared" si="2"/>
        <v>6.7348000000000008</v>
      </c>
      <c r="L20" s="51">
        <f t="shared" si="3"/>
        <v>10034852.000000002</v>
      </c>
      <c r="M20" s="58"/>
      <c r="N20" s="58"/>
      <c r="O20" s="51">
        <f t="shared" si="4"/>
        <v>10034852.000000002</v>
      </c>
      <c r="P20" s="53">
        <f>((E20+F20+G20+I20)*1490000-M20)*10.5%</f>
        <v>841513.26</v>
      </c>
      <c r="Q20" s="54"/>
      <c r="R20" s="53">
        <f t="shared" si="1"/>
        <v>841513.26</v>
      </c>
      <c r="S20" s="53">
        <f t="shared" si="9"/>
        <v>9193338.7400000021</v>
      </c>
      <c r="T20" s="2"/>
    </row>
    <row r="21" spans="1:20" ht="15" customHeight="1">
      <c r="A21" s="21">
        <v>12</v>
      </c>
      <c r="B21" s="39" t="s">
        <v>64</v>
      </c>
      <c r="C21" s="26" t="s">
        <v>59</v>
      </c>
      <c r="D21" s="55" t="s">
        <v>35</v>
      </c>
      <c r="E21" s="24">
        <v>4.2699999999999996</v>
      </c>
      <c r="F21" s="47">
        <v>0.2</v>
      </c>
      <c r="G21" s="33"/>
      <c r="H21" s="34">
        <v>0.1</v>
      </c>
      <c r="I21" s="48"/>
      <c r="J21" s="49"/>
      <c r="K21" s="50">
        <f t="shared" si="2"/>
        <v>4.5699999999999994</v>
      </c>
      <c r="L21" s="51">
        <f t="shared" si="3"/>
        <v>6809299.9999999991</v>
      </c>
      <c r="M21" s="58"/>
      <c r="N21" s="58"/>
      <c r="O21" s="51">
        <f t="shared" si="4"/>
        <v>6809299.9999999991</v>
      </c>
      <c r="P21" s="53">
        <f>((E21+F21+G21+I21)*1490000-M21)*10.5%</f>
        <v>699331.5</v>
      </c>
      <c r="Q21" s="54"/>
      <c r="R21" s="53">
        <f t="shared" si="1"/>
        <v>699331.5</v>
      </c>
      <c r="S21" s="53">
        <f>O21-R21</f>
        <v>6109968.4999999991</v>
      </c>
      <c r="T21" s="2"/>
    </row>
    <row r="22" spans="1:20" ht="15" customHeight="1">
      <c r="A22" s="21">
        <v>13</v>
      </c>
      <c r="B22" s="39" t="s">
        <v>21</v>
      </c>
      <c r="C22" s="40" t="s">
        <v>69</v>
      </c>
      <c r="D22" s="55" t="s">
        <v>27</v>
      </c>
      <c r="E22" s="24">
        <v>4.32</v>
      </c>
      <c r="F22" s="47"/>
      <c r="G22" s="33"/>
      <c r="H22" s="35"/>
      <c r="I22" s="48">
        <f>(E22+F22+G22)*19/100</f>
        <v>0.82080000000000009</v>
      </c>
      <c r="J22" s="49">
        <f>30/100*(E22+F22+G22)</f>
        <v>1.296</v>
      </c>
      <c r="K22" s="50">
        <f t="shared" si="2"/>
        <v>6.4368000000000007</v>
      </c>
      <c r="L22" s="51">
        <f t="shared" si="3"/>
        <v>9590832.0000000019</v>
      </c>
      <c r="M22" s="58"/>
      <c r="N22" s="58"/>
      <c r="O22" s="51">
        <f t="shared" si="4"/>
        <v>9590832.0000000019</v>
      </c>
      <c r="P22" s="53">
        <f t="shared" ref="P22:P40" si="10">((E22+F22+G22+I22)*1490000-M22)*10.5%</f>
        <v>804278.16</v>
      </c>
      <c r="Q22" s="54"/>
      <c r="R22" s="53">
        <f t="shared" si="1"/>
        <v>804278.16</v>
      </c>
      <c r="S22" s="53">
        <f t="shared" ref="S22:S29" si="11">O22-R22</f>
        <v>8786553.8400000017</v>
      </c>
      <c r="T22" s="2"/>
    </row>
    <row r="23" spans="1:20" ht="15" customHeight="1">
      <c r="A23" s="21">
        <v>14</v>
      </c>
      <c r="B23" s="39" t="s">
        <v>21</v>
      </c>
      <c r="C23" s="40" t="s">
        <v>37</v>
      </c>
      <c r="D23" s="55" t="s">
        <v>27</v>
      </c>
      <c r="E23" s="24">
        <v>4.32</v>
      </c>
      <c r="F23" s="24"/>
      <c r="G23" s="33"/>
      <c r="H23" s="35"/>
      <c r="I23" s="48">
        <f>(E23+F23+G23)*19/100</f>
        <v>0.82080000000000009</v>
      </c>
      <c r="J23" s="49">
        <f>30/100*(E23+F23+G23)</f>
        <v>1.296</v>
      </c>
      <c r="K23" s="50">
        <f t="shared" si="2"/>
        <v>6.4368000000000007</v>
      </c>
      <c r="L23" s="51">
        <f t="shared" si="3"/>
        <v>9590832.0000000019</v>
      </c>
      <c r="M23" s="58"/>
      <c r="N23" s="58"/>
      <c r="O23" s="51">
        <f t="shared" si="4"/>
        <v>9590832.0000000019</v>
      </c>
      <c r="P23" s="53">
        <f t="shared" si="10"/>
        <v>804278.16</v>
      </c>
      <c r="Q23" s="54"/>
      <c r="R23" s="53">
        <f t="shared" si="1"/>
        <v>804278.16</v>
      </c>
      <c r="S23" s="53">
        <f t="shared" si="11"/>
        <v>8786553.8400000017</v>
      </c>
      <c r="T23" s="2"/>
    </row>
    <row r="24" spans="1:20" ht="15" customHeight="1">
      <c r="A24" s="21">
        <v>15</v>
      </c>
      <c r="B24" s="39" t="s">
        <v>21</v>
      </c>
      <c r="C24" s="40" t="s">
        <v>71</v>
      </c>
      <c r="D24" s="55" t="s">
        <v>27</v>
      </c>
      <c r="E24" s="24">
        <v>4.32</v>
      </c>
      <c r="F24" s="24"/>
      <c r="G24" s="33"/>
      <c r="H24" s="35"/>
      <c r="I24" s="48">
        <f>(E24+F24+G24)*19/100</f>
        <v>0.82080000000000009</v>
      </c>
      <c r="J24" s="49">
        <f t="shared" ref="J24:J26" si="12">30/100*(E24+F24+G24)</f>
        <v>1.296</v>
      </c>
      <c r="K24" s="50">
        <f t="shared" si="2"/>
        <v>6.4368000000000007</v>
      </c>
      <c r="L24" s="51">
        <f t="shared" si="3"/>
        <v>9590832.0000000019</v>
      </c>
      <c r="M24" s="58"/>
      <c r="N24" s="58"/>
      <c r="O24" s="51">
        <f t="shared" si="4"/>
        <v>9590832.0000000019</v>
      </c>
      <c r="P24" s="53">
        <f t="shared" si="10"/>
        <v>804278.16</v>
      </c>
      <c r="Q24" s="54"/>
      <c r="R24" s="53">
        <f t="shared" si="1"/>
        <v>804278.16</v>
      </c>
      <c r="S24" s="53">
        <f t="shared" si="11"/>
        <v>8786553.8400000017</v>
      </c>
      <c r="T24" s="41"/>
    </row>
    <row r="25" spans="1:20" ht="15" customHeight="1">
      <c r="A25" s="21">
        <v>16</v>
      </c>
      <c r="B25" s="39" t="s">
        <v>21</v>
      </c>
      <c r="C25" s="40" t="s">
        <v>38</v>
      </c>
      <c r="D25" s="55" t="s">
        <v>27</v>
      </c>
      <c r="E25" s="24">
        <v>4.32</v>
      </c>
      <c r="F25" s="24"/>
      <c r="G25" s="33"/>
      <c r="H25" s="35"/>
      <c r="I25" s="48">
        <f>(E25+F25+G25)*17%</f>
        <v>0.73440000000000005</v>
      </c>
      <c r="J25" s="49">
        <f t="shared" si="12"/>
        <v>1.296</v>
      </c>
      <c r="K25" s="50">
        <f t="shared" si="2"/>
        <v>6.3504000000000005</v>
      </c>
      <c r="L25" s="51">
        <f t="shared" si="3"/>
        <v>9462096</v>
      </c>
      <c r="M25" s="58"/>
      <c r="N25" s="58"/>
      <c r="O25" s="51">
        <f t="shared" si="4"/>
        <v>9462096</v>
      </c>
      <c r="P25" s="53">
        <f t="shared" si="10"/>
        <v>790760.88</v>
      </c>
      <c r="Q25" s="54"/>
      <c r="R25" s="53">
        <f t="shared" si="1"/>
        <v>790760.88</v>
      </c>
      <c r="S25" s="53">
        <f t="shared" si="11"/>
        <v>8671335.1199999992</v>
      </c>
      <c r="T25" s="41"/>
    </row>
    <row r="26" spans="1:20" ht="15" customHeight="1">
      <c r="A26" s="21">
        <v>17</v>
      </c>
      <c r="B26" s="39" t="s">
        <v>21</v>
      </c>
      <c r="C26" s="40" t="s">
        <v>72</v>
      </c>
      <c r="D26" s="55" t="s">
        <v>27</v>
      </c>
      <c r="E26" s="24">
        <v>4.32</v>
      </c>
      <c r="F26" s="24"/>
      <c r="G26" s="33"/>
      <c r="H26" s="35"/>
      <c r="I26" s="48">
        <f>(E26+F26+G26)*17%</f>
        <v>0.73440000000000005</v>
      </c>
      <c r="J26" s="49">
        <f t="shared" si="12"/>
        <v>1.296</v>
      </c>
      <c r="K26" s="50">
        <f t="shared" si="2"/>
        <v>6.3504000000000005</v>
      </c>
      <c r="L26" s="51">
        <f t="shared" si="3"/>
        <v>9462096</v>
      </c>
      <c r="M26" s="58"/>
      <c r="N26" s="58"/>
      <c r="O26" s="51">
        <f t="shared" si="4"/>
        <v>9462096</v>
      </c>
      <c r="P26" s="53">
        <f t="shared" si="10"/>
        <v>790760.88</v>
      </c>
      <c r="Q26" s="54"/>
      <c r="R26" s="53">
        <f t="shared" si="1"/>
        <v>790760.88</v>
      </c>
      <c r="S26" s="53">
        <f t="shared" si="11"/>
        <v>8671335.1199999992</v>
      </c>
      <c r="T26" s="41"/>
    </row>
    <row r="27" spans="1:20" ht="15" customHeight="1">
      <c r="A27" s="21">
        <v>18</v>
      </c>
      <c r="B27" s="39" t="s">
        <v>21</v>
      </c>
      <c r="C27" s="40" t="s">
        <v>91</v>
      </c>
      <c r="D27" s="55" t="s">
        <v>27</v>
      </c>
      <c r="E27" s="24">
        <v>4.32</v>
      </c>
      <c r="F27" s="24">
        <v>0.15</v>
      </c>
      <c r="G27" s="60"/>
      <c r="H27" s="35"/>
      <c r="I27" s="48">
        <f>(E27+F27+G27)*18%</f>
        <v>0.80460000000000009</v>
      </c>
      <c r="J27" s="49">
        <f>30/100*(E27+F27+G27)</f>
        <v>1.3410000000000002</v>
      </c>
      <c r="K27" s="61">
        <f t="shared" si="2"/>
        <v>6.6156000000000006</v>
      </c>
      <c r="L27" s="62">
        <f t="shared" si="3"/>
        <v>9857244</v>
      </c>
      <c r="M27" s="63"/>
      <c r="N27" s="63"/>
      <c r="O27" s="62">
        <f t="shared" si="4"/>
        <v>9857244</v>
      </c>
      <c r="P27" s="64">
        <f t="shared" si="10"/>
        <v>825211.17</v>
      </c>
      <c r="Q27" s="54"/>
      <c r="R27" s="64">
        <f t="shared" si="1"/>
        <v>825211.17</v>
      </c>
      <c r="S27" s="64">
        <f t="shared" si="11"/>
        <v>9032032.8300000001</v>
      </c>
      <c r="T27" s="41"/>
    </row>
    <row r="28" spans="1:20" ht="15" customHeight="1">
      <c r="A28" s="21">
        <v>19</v>
      </c>
      <c r="B28" s="39" t="s">
        <v>21</v>
      </c>
      <c r="C28" s="40" t="s">
        <v>39</v>
      </c>
      <c r="D28" s="55" t="s">
        <v>27</v>
      </c>
      <c r="E28" s="24">
        <v>4.32</v>
      </c>
      <c r="F28" s="24"/>
      <c r="G28" s="33"/>
      <c r="H28" s="36"/>
      <c r="I28" s="48">
        <f>(E28+F28+G28)*21%</f>
        <v>0.90720000000000001</v>
      </c>
      <c r="J28" s="49">
        <f>30/100*(E28+F28+G28)</f>
        <v>1.296</v>
      </c>
      <c r="K28" s="50">
        <f t="shared" si="2"/>
        <v>6.5232000000000001</v>
      </c>
      <c r="L28" s="51">
        <f t="shared" si="3"/>
        <v>9719568</v>
      </c>
      <c r="M28" s="58"/>
      <c r="N28" s="58"/>
      <c r="O28" s="51">
        <f t="shared" si="4"/>
        <v>9719568</v>
      </c>
      <c r="P28" s="53">
        <f t="shared" si="10"/>
        <v>817795.44</v>
      </c>
      <c r="Q28" s="54"/>
      <c r="R28" s="53">
        <f t="shared" si="1"/>
        <v>817795.44</v>
      </c>
      <c r="S28" s="53">
        <f t="shared" si="11"/>
        <v>8901772.5600000005</v>
      </c>
      <c r="T28" s="41"/>
    </row>
    <row r="29" spans="1:20" ht="15" customHeight="1">
      <c r="A29" s="21">
        <v>20</v>
      </c>
      <c r="B29" s="39" t="s">
        <v>22</v>
      </c>
      <c r="C29" s="40" t="s">
        <v>40</v>
      </c>
      <c r="D29" s="55" t="s">
        <v>90</v>
      </c>
      <c r="E29" s="24">
        <v>3.96</v>
      </c>
      <c r="F29" s="24">
        <v>0.15</v>
      </c>
      <c r="G29" s="33"/>
      <c r="H29" s="36"/>
      <c r="I29" s="48">
        <f>(E29+F29+G29)*17/100</f>
        <v>0.6987000000000001</v>
      </c>
      <c r="J29" s="49">
        <f t="shared" ref="J29" si="13">30/100*(E29+F29+G29)</f>
        <v>1.2330000000000001</v>
      </c>
      <c r="K29" s="50">
        <f t="shared" si="2"/>
        <v>6.0417000000000005</v>
      </c>
      <c r="L29" s="51">
        <f t="shared" si="3"/>
        <v>9002133</v>
      </c>
      <c r="M29" s="58"/>
      <c r="N29" s="58"/>
      <c r="O29" s="51">
        <f t="shared" si="4"/>
        <v>9002133</v>
      </c>
      <c r="P29" s="53">
        <f t="shared" si="10"/>
        <v>752321.11499999999</v>
      </c>
      <c r="Q29" s="54"/>
      <c r="R29" s="53">
        <f t="shared" si="1"/>
        <v>752321.11499999999</v>
      </c>
      <c r="S29" s="53">
        <f t="shared" si="11"/>
        <v>8249811.8849999998</v>
      </c>
      <c r="T29" s="41"/>
    </row>
    <row r="30" spans="1:20" ht="15" customHeight="1">
      <c r="A30" s="21">
        <v>21</v>
      </c>
      <c r="B30" s="39" t="s">
        <v>21</v>
      </c>
      <c r="C30" s="40" t="s">
        <v>73</v>
      </c>
      <c r="D30" s="55" t="s">
        <v>27</v>
      </c>
      <c r="E30" s="24">
        <v>3.99</v>
      </c>
      <c r="F30" s="24"/>
      <c r="G30" s="14"/>
      <c r="H30" s="10"/>
      <c r="I30" s="48">
        <f>(E30+F30+G30)*17%</f>
        <v>0.67830000000000013</v>
      </c>
      <c r="J30" s="49">
        <f>30/100*(E30+F30+G30)</f>
        <v>1.1970000000000001</v>
      </c>
      <c r="K30" s="50">
        <f t="shared" si="2"/>
        <v>5.8653000000000004</v>
      </c>
      <c r="L30" s="51">
        <f t="shared" si="3"/>
        <v>8739297</v>
      </c>
      <c r="M30" s="65"/>
      <c r="N30" s="65"/>
      <c r="O30" s="51">
        <f>L30-M30+N30</f>
        <v>8739297</v>
      </c>
      <c r="P30" s="53">
        <f t="shared" si="10"/>
        <v>730355.53500000003</v>
      </c>
      <c r="Q30" s="54"/>
      <c r="R30" s="53">
        <f t="shared" si="1"/>
        <v>730355.53500000003</v>
      </c>
      <c r="S30" s="53">
        <f>O30-R30-N30</f>
        <v>8008941.4649999999</v>
      </c>
      <c r="T30" s="41"/>
    </row>
    <row r="31" spans="1:20" ht="15" customHeight="1">
      <c r="A31" s="21">
        <v>22</v>
      </c>
      <c r="B31" s="39" t="s">
        <v>21</v>
      </c>
      <c r="C31" s="40" t="s">
        <v>41</v>
      </c>
      <c r="D31" s="55" t="s">
        <v>27</v>
      </c>
      <c r="E31" s="24">
        <v>3.99</v>
      </c>
      <c r="F31" s="56"/>
      <c r="G31" s="14"/>
      <c r="H31" s="10"/>
      <c r="I31" s="48">
        <f>(E31+F31+G31)*16/100</f>
        <v>0.63840000000000008</v>
      </c>
      <c r="J31" s="49">
        <f t="shared" ref="J31:J36" si="14">30/100*(E31+F31+G31)</f>
        <v>1.1970000000000001</v>
      </c>
      <c r="K31" s="50">
        <f t="shared" si="2"/>
        <v>5.8254000000000001</v>
      </c>
      <c r="L31" s="51">
        <f t="shared" si="3"/>
        <v>8679846</v>
      </c>
      <c r="M31" s="58"/>
      <c r="N31" s="58"/>
      <c r="O31" s="51">
        <f t="shared" ref="O31:O46" si="15">L31-M31+N31</f>
        <v>8679846</v>
      </c>
      <c r="P31" s="53">
        <f t="shared" si="10"/>
        <v>724113.17999999993</v>
      </c>
      <c r="Q31" s="54"/>
      <c r="R31" s="53">
        <f t="shared" si="1"/>
        <v>724113.17999999993</v>
      </c>
      <c r="S31" s="53">
        <f t="shared" ref="S31:S39" si="16">O31-R31</f>
        <v>7955732.8200000003</v>
      </c>
      <c r="T31" s="41"/>
    </row>
    <row r="32" spans="1:20" ht="15" customHeight="1">
      <c r="A32" s="21">
        <v>23</v>
      </c>
      <c r="B32" s="39" t="s">
        <v>21</v>
      </c>
      <c r="C32" s="40" t="s">
        <v>42</v>
      </c>
      <c r="D32" s="55" t="s">
        <v>27</v>
      </c>
      <c r="E32" s="24">
        <v>3.99</v>
      </c>
      <c r="F32" s="56"/>
      <c r="G32" s="14"/>
      <c r="H32" s="24">
        <v>0.1</v>
      </c>
      <c r="I32" s="48">
        <f>(E32+F32+G32)*17/100</f>
        <v>0.67830000000000001</v>
      </c>
      <c r="J32" s="49">
        <f t="shared" si="14"/>
        <v>1.1970000000000001</v>
      </c>
      <c r="K32" s="50">
        <f t="shared" si="2"/>
        <v>5.9653</v>
      </c>
      <c r="L32" s="51">
        <f t="shared" si="3"/>
        <v>8888297</v>
      </c>
      <c r="M32" s="58"/>
      <c r="N32" s="58"/>
      <c r="O32" s="51">
        <f t="shared" si="15"/>
        <v>8888297</v>
      </c>
      <c r="P32" s="53">
        <f t="shared" si="10"/>
        <v>730355.53500000003</v>
      </c>
      <c r="Q32" s="54"/>
      <c r="R32" s="53">
        <f t="shared" si="1"/>
        <v>730355.53500000003</v>
      </c>
      <c r="S32" s="53">
        <f t="shared" si="16"/>
        <v>8157941.4649999999</v>
      </c>
      <c r="T32" s="41"/>
    </row>
    <row r="33" spans="1:22" ht="15" customHeight="1">
      <c r="A33" s="21">
        <v>24</v>
      </c>
      <c r="B33" s="39" t="s">
        <v>21</v>
      </c>
      <c r="C33" s="26" t="s">
        <v>74</v>
      </c>
      <c r="D33" s="55" t="s">
        <v>27</v>
      </c>
      <c r="E33" s="24">
        <v>3.99</v>
      </c>
      <c r="F33" s="56"/>
      <c r="G33" s="14"/>
      <c r="H33" s="10"/>
      <c r="I33" s="66">
        <f>(E33+F33+G33)*15/100</f>
        <v>0.59850000000000003</v>
      </c>
      <c r="J33" s="67">
        <f t="shared" si="14"/>
        <v>1.1970000000000001</v>
      </c>
      <c r="K33" s="68">
        <f t="shared" si="2"/>
        <v>5.7854999999999999</v>
      </c>
      <c r="L33" s="69">
        <f t="shared" si="3"/>
        <v>8620395</v>
      </c>
      <c r="M33" s="70"/>
      <c r="N33" s="70"/>
      <c r="O33" s="69">
        <f t="shared" si="15"/>
        <v>8620395</v>
      </c>
      <c r="P33" s="71">
        <f t="shared" si="10"/>
        <v>717870.82499999995</v>
      </c>
      <c r="Q33" s="54"/>
      <c r="R33" s="71">
        <f t="shared" si="1"/>
        <v>717870.82499999995</v>
      </c>
      <c r="S33" s="71">
        <f t="shared" si="16"/>
        <v>7902524.1749999998</v>
      </c>
      <c r="T33" s="41"/>
    </row>
    <row r="34" spans="1:22" ht="15" customHeight="1">
      <c r="A34" s="21">
        <v>25</v>
      </c>
      <c r="B34" s="72" t="s">
        <v>21</v>
      </c>
      <c r="C34" s="26" t="s">
        <v>43</v>
      </c>
      <c r="D34" s="55" t="s">
        <v>27</v>
      </c>
      <c r="E34" s="24">
        <v>3.99</v>
      </c>
      <c r="F34" s="56"/>
      <c r="G34" s="14"/>
      <c r="H34" s="10"/>
      <c r="I34" s="66">
        <f>(E34+F34+G34)*15/100</f>
        <v>0.59850000000000003</v>
      </c>
      <c r="J34" s="67">
        <f t="shared" si="14"/>
        <v>1.1970000000000001</v>
      </c>
      <c r="K34" s="68">
        <f t="shared" si="2"/>
        <v>5.7854999999999999</v>
      </c>
      <c r="L34" s="69">
        <f t="shared" si="3"/>
        <v>8620395</v>
      </c>
      <c r="M34" s="70"/>
      <c r="N34" s="70"/>
      <c r="O34" s="69">
        <f t="shared" si="15"/>
        <v>8620395</v>
      </c>
      <c r="P34" s="71">
        <f t="shared" si="10"/>
        <v>717870.82499999995</v>
      </c>
      <c r="Q34" s="54"/>
      <c r="R34" s="71">
        <f t="shared" si="1"/>
        <v>717870.82499999995</v>
      </c>
      <c r="S34" s="71">
        <f t="shared" si="16"/>
        <v>7902524.1749999998</v>
      </c>
      <c r="T34" s="41"/>
    </row>
    <row r="35" spans="1:22" ht="15" customHeight="1">
      <c r="A35" s="21">
        <v>26</v>
      </c>
      <c r="B35" s="39" t="s">
        <v>21</v>
      </c>
      <c r="C35" s="26" t="s">
        <v>58</v>
      </c>
      <c r="D35" s="55" t="s">
        <v>27</v>
      </c>
      <c r="E35" s="24">
        <v>3.33</v>
      </c>
      <c r="F35" s="56"/>
      <c r="G35" s="14"/>
      <c r="H35" s="10"/>
      <c r="I35" s="48">
        <f>(E35+F35+G35)*11%</f>
        <v>0.36630000000000001</v>
      </c>
      <c r="J35" s="49">
        <f t="shared" si="14"/>
        <v>0.999</v>
      </c>
      <c r="K35" s="50">
        <f t="shared" si="2"/>
        <v>4.6952999999999996</v>
      </c>
      <c r="L35" s="51">
        <f t="shared" si="3"/>
        <v>6995996.9999999991</v>
      </c>
      <c r="M35" s="58"/>
      <c r="N35" s="58"/>
      <c r="O35" s="51">
        <f t="shared" si="15"/>
        <v>6995996.9999999991</v>
      </c>
      <c r="P35" s="53">
        <f t="shared" si="10"/>
        <v>578286.13500000001</v>
      </c>
      <c r="Q35" s="54"/>
      <c r="R35" s="53">
        <f t="shared" si="1"/>
        <v>578286.13500000001</v>
      </c>
      <c r="S35" s="53">
        <f>O35-R35</f>
        <v>6417710.8649999993</v>
      </c>
      <c r="T35" s="41"/>
    </row>
    <row r="36" spans="1:22" ht="15" customHeight="1">
      <c r="A36" s="21">
        <v>27</v>
      </c>
      <c r="B36" s="39" t="s">
        <v>21</v>
      </c>
      <c r="C36" s="40" t="s">
        <v>44</v>
      </c>
      <c r="D36" s="55" t="s">
        <v>27</v>
      </c>
      <c r="E36" s="24">
        <v>3.99</v>
      </c>
      <c r="F36" s="56"/>
      <c r="G36" s="14"/>
      <c r="H36" s="10"/>
      <c r="I36" s="48">
        <f>(E36+F36+G36)*14/100</f>
        <v>0.55859999999999999</v>
      </c>
      <c r="J36" s="49">
        <f t="shared" si="14"/>
        <v>1.1970000000000001</v>
      </c>
      <c r="K36" s="50">
        <f t="shared" si="2"/>
        <v>5.7456000000000005</v>
      </c>
      <c r="L36" s="51">
        <f t="shared" si="3"/>
        <v>8560944</v>
      </c>
      <c r="M36" s="58"/>
      <c r="N36" s="58"/>
      <c r="O36" s="51">
        <f t="shared" si="15"/>
        <v>8560944</v>
      </c>
      <c r="P36" s="53">
        <f t="shared" si="10"/>
        <v>711628.47000000009</v>
      </c>
      <c r="Q36" s="54"/>
      <c r="R36" s="53">
        <f t="shared" si="1"/>
        <v>711628.47000000009</v>
      </c>
      <c r="S36" s="53">
        <f t="shared" si="16"/>
        <v>7849315.5300000003</v>
      </c>
      <c r="T36" s="41"/>
    </row>
    <row r="37" spans="1:22" ht="15" customHeight="1">
      <c r="A37" s="21">
        <v>28</v>
      </c>
      <c r="B37" s="39" t="s">
        <v>53</v>
      </c>
      <c r="C37" s="73" t="s">
        <v>75</v>
      </c>
      <c r="D37" s="55" t="s">
        <v>83</v>
      </c>
      <c r="E37" s="74">
        <v>3.46</v>
      </c>
      <c r="F37" s="56">
        <v>0.15</v>
      </c>
      <c r="G37" s="14"/>
      <c r="H37" s="10"/>
      <c r="I37" s="48"/>
      <c r="J37" s="49"/>
      <c r="K37" s="50">
        <f t="shared" si="2"/>
        <v>3.61</v>
      </c>
      <c r="L37" s="51">
        <f t="shared" si="3"/>
        <v>5378900</v>
      </c>
      <c r="M37" s="65">
        <f>L37</f>
        <v>5378900</v>
      </c>
      <c r="N37" s="75"/>
      <c r="O37" s="51">
        <f>L37-M37+N37</f>
        <v>0</v>
      </c>
      <c r="P37" s="53">
        <f t="shared" si="10"/>
        <v>0</v>
      </c>
      <c r="Q37" s="54"/>
      <c r="R37" s="53">
        <f t="shared" si="1"/>
        <v>0</v>
      </c>
      <c r="S37" s="76">
        <f t="shared" si="16"/>
        <v>0</v>
      </c>
      <c r="T37" s="41"/>
    </row>
    <row r="38" spans="1:22" ht="15" customHeight="1">
      <c r="A38" s="21">
        <v>29</v>
      </c>
      <c r="B38" s="39" t="s">
        <v>89</v>
      </c>
      <c r="C38" s="42" t="s">
        <v>46</v>
      </c>
      <c r="D38" s="55" t="s">
        <v>27</v>
      </c>
      <c r="E38" s="24">
        <v>4</v>
      </c>
      <c r="F38" s="24"/>
      <c r="G38" s="14"/>
      <c r="H38" s="10"/>
      <c r="I38" s="48">
        <f>(E38+F38+G38)*13%</f>
        <v>0.52</v>
      </c>
      <c r="J38" s="49">
        <f t="shared" ref="J38:J39" si="17">30/100*(E38+F38+G38)</f>
        <v>1.2</v>
      </c>
      <c r="K38" s="50">
        <f t="shared" si="2"/>
        <v>5.72</v>
      </c>
      <c r="L38" s="51">
        <f t="shared" si="3"/>
        <v>8522800</v>
      </c>
      <c r="M38" s="58"/>
      <c r="N38" s="58"/>
      <c r="O38" s="51">
        <f t="shared" si="15"/>
        <v>8522800</v>
      </c>
      <c r="P38" s="53">
        <f t="shared" si="10"/>
        <v>707153.99999999988</v>
      </c>
      <c r="Q38" s="54"/>
      <c r="R38" s="53">
        <f t="shared" si="1"/>
        <v>707153.99999999988</v>
      </c>
      <c r="S38" s="76">
        <f t="shared" si="16"/>
        <v>7815646</v>
      </c>
      <c r="T38" s="41"/>
    </row>
    <row r="39" spans="1:22" ht="15" customHeight="1">
      <c r="A39" s="21">
        <v>30</v>
      </c>
      <c r="B39" s="39" t="s">
        <v>21</v>
      </c>
      <c r="C39" s="40" t="s">
        <v>47</v>
      </c>
      <c r="D39" s="55" t="s">
        <v>27</v>
      </c>
      <c r="E39" s="24">
        <v>3.99</v>
      </c>
      <c r="F39" s="24"/>
      <c r="G39" s="14"/>
      <c r="H39" s="10"/>
      <c r="I39" s="48">
        <f>(E39+F39+G39)*15%</f>
        <v>0.59850000000000003</v>
      </c>
      <c r="J39" s="49">
        <f t="shared" si="17"/>
        <v>1.1970000000000001</v>
      </c>
      <c r="K39" s="50">
        <f t="shared" si="2"/>
        <v>5.7854999999999999</v>
      </c>
      <c r="L39" s="51">
        <f t="shared" si="3"/>
        <v>8620395</v>
      </c>
      <c r="M39" s="53"/>
      <c r="N39" s="58"/>
      <c r="O39" s="51">
        <f t="shared" si="15"/>
        <v>8620395</v>
      </c>
      <c r="P39" s="53">
        <f t="shared" si="10"/>
        <v>717870.82499999995</v>
      </c>
      <c r="Q39" s="54"/>
      <c r="R39" s="53">
        <f t="shared" si="1"/>
        <v>717870.82499999995</v>
      </c>
      <c r="S39" s="76">
        <f t="shared" si="16"/>
        <v>7902524.1749999998</v>
      </c>
      <c r="T39" s="41"/>
    </row>
    <row r="40" spans="1:22" ht="15" customHeight="1">
      <c r="A40" s="21">
        <v>31</v>
      </c>
      <c r="B40" s="39" t="s">
        <v>21</v>
      </c>
      <c r="C40" s="40" t="s">
        <v>48</v>
      </c>
      <c r="D40" s="55" t="s">
        <v>27</v>
      </c>
      <c r="E40" s="24">
        <v>3.66</v>
      </c>
      <c r="F40" s="24"/>
      <c r="G40" s="14"/>
      <c r="H40" s="10"/>
      <c r="I40" s="48">
        <f>(E40+F40+G40)*13%</f>
        <v>0.47580000000000006</v>
      </c>
      <c r="J40" s="49">
        <f>30/100*(E40+F40+G40)</f>
        <v>1.0980000000000001</v>
      </c>
      <c r="K40" s="50">
        <f t="shared" si="2"/>
        <v>5.2338000000000005</v>
      </c>
      <c r="L40" s="51">
        <f t="shared" si="3"/>
        <v>7798362.0000000009</v>
      </c>
      <c r="M40" s="53"/>
      <c r="N40" s="58"/>
      <c r="O40" s="51">
        <f t="shared" si="15"/>
        <v>7798362.0000000009</v>
      </c>
      <c r="P40" s="53">
        <f t="shared" si="10"/>
        <v>647045.91</v>
      </c>
      <c r="Q40" s="54"/>
      <c r="R40" s="53">
        <f t="shared" si="1"/>
        <v>647045.91</v>
      </c>
      <c r="S40" s="76">
        <f>O40-R40</f>
        <v>7151316.0900000008</v>
      </c>
      <c r="T40" s="41"/>
    </row>
    <row r="41" spans="1:22" ht="15" customHeight="1">
      <c r="A41" s="21">
        <v>32</v>
      </c>
      <c r="B41" s="39" t="s">
        <v>21</v>
      </c>
      <c r="C41" s="40" t="s">
        <v>92</v>
      </c>
      <c r="D41" s="55" t="s">
        <v>27</v>
      </c>
      <c r="E41" s="24">
        <v>3.33</v>
      </c>
      <c r="F41" s="24"/>
      <c r="G41" s="14"/>
      <c r="H41" s="10"/>
      <c r="I41" s="48">
        <f>(E41+F41+G41)*10%</f>
        <v>0.33300000000000002</v>
      </c>
      <c r="J41" s="49">
        <f>30/100*(E41+F41+G41)</f>
        <v>0.999</v>
      </c>
      <c r="K41" s="50">
        <f>E41+F41+G41+H41+I41+J41</f>
        <v>4.6619999999999999</v>
      </c>
      <c r="L41" s="51">
        <f t="shared" si="3"/>
        <v>6946380</v>
      </c>
      <c r="M41" s="53"/>
      <c r="N41" s="53"/>
      <c r="O41" s="51">
        <f t="shared" si="15"/>
        <v>6946380</v>
      </c>
      <c r="P41" s="53">
        <f>((E41+F41+G41+I41)*1490000)*10.5%</f>
        <v>573076.35</v>
      </c>
      <c r="Q41" s="54"/>
      <c r="R41" s="53">
        <f t="shared" si="1"/>
        <v>573076.35</v>
      </c>
      <c r="S41" s="76">
        <f t="shared" ref="S41:S42" si="18">O41-R41</f>
        <v>6373303.6500000004</v>
      </c>
      <c r="T41" s="41"/>
    </row>
    <row r="42" spans="1:22" ht="15" customHeight="1">
      <c r="A42" s="21">
        <v>33</v>
      </c>
      <c r="B42" s="39" t="s">
        <v>21</v>
      </c>
      <c r="C42" s="40" t="s">
        <v>93</v>
      </c>
      <c r="D42" s="55" t="s">
        <v>27</v>
      </c>
      <c r="E42" s="24">
        <v>3.66</v>
      </c>
      <c r="F42" s="24"/>
      <c r="G42" s="14"/>
      <c r="H42" s="10"/>
      <c r="I42" s="48">
        <f>(E42+F42+G42)*11%</f>
        <v>0.40260000000000001</v>
      </c>
      <c r="J42" s="49">
        <f>30/100*(E42+F42+G42)</f>
        <v>1.0980000000000001</v>
      </c>
      <c r="K42" s="50">
        <f>E42+F42+G42+H42+I42+J42</f>
        <v>5.1605999999999996</v>
      </c>
      <c r="L42" s="51">
        <f t="shared" si="3"/>
        <v>7689293.9999999991</v>
      </c>
      <c r="M42" s="53"/>
      <c r="N42" s="53"/>
      <c r="O42" s="51">
        <f t="shared" si="15"/>
        <v>7689293.9999999991</v>
      </c>
      <c r="P42" s="53">
        <f>((E42+F42+G42+I42)*1490000)*10.5%</f>
        <v>635593.77</v>
      </c>
      <c r="Q42" s="54"/>
      <c r="R42" s="53">
        <f t="shared" si="1"/>
        <v>635593.77</v>
      </c>
      <c r="S42" s="76">
        <f t="shared" si="18"/>
        <v>7053700.2299999986</v>
      </c>
      <c r="T42" s="41"/>
    </row>
    <row r="43" spans="1:22" ht="15" customHeight="1">
      <c r="A43" s="21">
        <v>34</v>
      </c>
      <c r="B43" s="39" t="s">
        <v>94</v>
      </c>
      <c r="C43" s="42" t="s">
        <v>95</v>
      </c>
      <c r="D43" s="77" t="s">
        <v>27</v>
      </c>
      <c r="E43" s="24">
        <v>3</v>
      </c>
      <c r="F43" s="24"/>
      <c r="G43" s="14"/>
      <c r="H43" s="11"/>
      <c r="I43" s="48"/>
      <c r="J43" s="49">
        <f>30/100*(E43+F43+G43)</f>
        <v>0.89999999999999991</v>
      </c>
      <c r="K43" s="50">
        <f>E43+F43+G43+H43+I43+J43</f>
        <v>3.9</v>
      </c>
      <c r="L43" s="51">
        <f>K43*1490000</f>
        <v>5811000</v>
      </c>
      <c r="M43" s="65"/>
      <c r="N43" s="65"/>
      <c r="O43" s="51">
        <f t="shared" si="15"/>
        <v>5811000</v>
      </c>
      <c r="P43" s="53">
        <f t="shared" ref="P43:P44" si="19">((E43+F43+G43+I43)*1490000-M43)*10.5%</f>
        <v>469350</v>
      </c>
      <c r="Q43" s="54"/>
      <c r="R43" s="53">
        <f t="shared" si="1"/>
        <v>469350</v>
      </c>
      <c r="S43" s="76">
        <f>O43-R43-N43</f>
        <v>5341650</v>
      </c>
      <c r="T43" s="41"/>
    </row>
    <row r="44" spans="1:22" ht="15" customHeight="1">
      <c r="A44" s="21">
        <v>35</v>
      </c>
      <c r="B44" s="39" t="s">
        <v>23</v>
      </c>
      <c r="C44" s="40" t="s">
        <v>49</v>
      </c>
      <c r="D44" s="55" t="s">
        <v>45</v>
      </c>
      <c r="E44" s="24">
        <v>3.34</v>
      </c>
      <c r="F44" s="24"/>
      <c r="G44" s="14"/>
      <c r="H44" s="24">
        <v>0.2</v>
      </c>
      <c r="I44" s="48"/>
      <c r="J44" s="49"/>
      <c r="K44" s="50">
        <f t="shared" ref="K44" si="20">E44+F44+G44+H44+I44+J44</f>
        <v>3.54</v>
      </c>
      <c r="L44" s="51">
        <f t="shared" ref="L44" si="21">K44*1490000</f>
        <v>5274600</v>
      </c>
      <c r="M44" s="53"/>
      <c r="N44" s="58"/>
      <c r="O44" s="51">
        <f t="shared" si="15"/>
        <v>5274600</v>
      </c>
      <c r="P44" s="53">
        <f t="shared" si="19"/>
        <v>522543</v>
      </c>
      <c r="Q44" s="54"/>
      <c r="R44" s="53">
        <f t="shared" si="1"/>
        <v>522543</v>
      </c>
      <c r="S44" s="76">
        <f>O44-R44</f>
        <v>4752057</v>
      </c>
      <c r="T44" s="41"/>
    </row>
    <row r="45" spans="1:22" ht="15" customHeight="1">
      <c r="A45" s="21">
        <v>36</v>
      </c>
      <c r="B45" s="39" t="s">
        <v>52</v>
      </c>
      <c r="C45" s="40" t="s">
        <v>50</v>
      </c>
      <c r="D45" s="77" t="s">
        <v>45</v>
      </c>
      <c r="E45" s="24">
        <v>2.86</v>
      </c>
      <c r="F45" s="24"/>
      <c r="G45" s="14"/>
      <c r="H45" s="24">
        <v>0.2</v>
      </c>
      <c r="I45" s="48"/>
      <c r="J45" s="49"/>
      <c r="K45" s="50">
        <f>E45+F45+G45+H45+I45+J45</f>
        <v>3.06</v>
      </c>
      <c r="L45" s="51">
        <f>K45*1490000</f>
        <v>4559400</v>
      </c>
      <c r="M45" s="53"/>
      <c r="N45" s="51"/>
      <c r="O45" s="51">
        <f t="shared" si="15"/>
        <v>4559400</v>
      </c>
      <c r="P45" s="53">
        <f>((E45+F45+G45+I45)*1490000)*10.5%</f>
        <v>447447</v>
      </c>
      <c r="Q45" s="53"/>
      <c r="R45" s="53">
        <f t="shared" si="1"/>
        <v>447447</v>
      </c>
      <c r="S45" s="76">
        <f>O45-R45</f>
        <v>4111953</v>
      </c>
      <c r="T45" s="41"/>
      <c r="V45">
        <f>1300*30/100*5</f>
        <v>1950</v>
      </c>
    </row>
    <row r="46" spans="1:22" ht="15" customHeight="1">
      <c r="A46" s="21">
        <v>37</v>
      </c>
      <c r="B46" s="39" t="s">
        <v>54</v>
      </c>
      <c r="C46" s="40" t="s">
        <v>51</v>
      </c>
      <c r="D46" s="77" t="s">
        <v>96</v>
      </c>
      <c r="E46" s="24"/>
      <c r="F46" s="24"/>
      <c r="G46" s="14"/>
      <c r="H46" s="11"/>
      <c r="I46" s="48"/>
      <c r="J46" s="49"/>
      <c r="K46" s="50"/>
      <c r="L46" s="51">
        <v>3920000</v>
      </c>
      <c r="M46" s="53"/>
      <c r="N46" s="58"/>
      <c r="O46" s="51">
        <f t="shared" si="15"/>
        <v>3920000</v>
      </c>
      <c r="P46" s="53">
        <f>O46*10.5%</f>
        <v>411600</v>
      </c>
      <c r="Q46" s="53"/>
      <c r="R46" s="53">
        <f t="shared" si="1"/>
        <v>411600</v>
      </c>
      <c r="S46" s="76">
        <f>O46-R46</f>
        <v>3508400</v>
      </c>
      <c r="T46" s="2"/>
    </row>
    <row r="47" spans="1:22" ht="15" customHeight="1">
      <c r="A47" s="2"/>
      <c r="B47" s="2"/>
      <c r="C47" s="3" t="s">
        <v>14</v>
      </c>
      <c r="D47" s="5"/>
      <c r="E47" s="27">
        <f t="shared" ref="E47" si="22">SUM(E10:E46)</f>
        <v>149.36999999999995</v>
      </c>
      <c r="F47" s="78">
        <f>SUM(F10:F46)</f>
        <v>2.1999999999999997</v>
      </c>
      <c r="G47" s="27">
        <f>SUM(G10:G46)</f>
        <v>0.84660000000000002</v>
      </c>
      <c r="H47" s="78">
        <f>SUM(H10:H46)</f>
        <v>0.60000000000000009</v>
      </c>
      <c r="I47" s="27">
        <f>SUM(I10:I46)</f>
        <v>25.557158000000001</v>
      </c>
      <c r="J47" s="27">
        <f t="shared" ref="J47" si="23">SUM(J10:J46)</f>
        <v>41.440980000000003</v>
      </c>
      <c r="K47" s="27">
        <f>SUM(K10:K46)</f>
        <v>220.01473800000008</v>
      </c>
      <c r="L47" s="28">
        <f t="shared" ref="L47:O47" si="24">SUM(L10:L46)</f>
        <v>331741959.62</v>
      </c>
      <c r="M47" s="75">
        <f t="shared" si="24"/>
        <v>5378900</v>
      </c>
      <c r="N47" s="75">
        <f t="shared" si="24"/>
        <v>0</v>
      </c>
      <c r="O47" s="28">
        <f t="shared" si="24"/>
        <v>326363059.62</v>
      </c>
      <c r="P47" s="28">
        <f>SUM(P10:P46)</f>
        <v>27690809.939100001</v>
      </c>
      <c r="Q47" s="28">
        <f>SUM(Q10:Q46)</f>
        <v>0</v>
      </c>
      <c r="R47" s="28">
        <f t="shared" ref="R47" si="25">SUM(R10:R46)</f>
        <v>27690809.939100001</v>
      </c>
      <c r="S47" s="32">
        <f>SUM(S10:S46)</f>
        <v>298672249.6809001</v>
      </c>
      <c r="T47" s="2"/>
    </row>
    <row r="48" spans="1:22" ht="15" customHeight="1">
      <c r="E48" s="9"/>
      <c r="F48" s="9"/>
      <c r="G48" s="9"/>
      <c r="H48" s="9"/>
      <c r="I48" s="19"/>
      <c r="J48" s="17"/>
    </row>
    <row r="49" spans="1:23" ht="15" customHeight="1">
      <c r="A49" s="1" t="s">
        <v>100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</row>
    <row r="50" spans="1:23" ht="15" customHeight="1">
      <c r="A50" s="6"/>
      <c r="E50" s="9"/>
      <c r="F50" s="9"/>
      <c r="G50" s="9"/>
      <c r="H50" s="9"/>
      <c r="I50" s="19"/>
      <c r="J50" s="17"/>
      <c r="S50" s="15"/>
    </row>
    <row r="51" spans="1:23" ht="15" customHeight="1">
      <c r="A51" s="7"/>
      <c r="B51" s="7"/>
      <c r="C51" s="7"/>
      <c r="D51" s="211"/>
      <c r="E51" s="212"/>
      <c r="F51" s="212"/>
      <c r="G51" s="37"/>
      <c r="H51" s="37"/>
      <c r="I51" s="19"/>
      <c r="J51" s="17"/>
      <c r="N51" s="43"/>
      <c r="O51" s="43"/>
      <c r="P51" s="213" t="s">
        <v>101</v>
      </c>
      <c r="Q51" s="213"/>
      <c r="R51" s="213"/>
      <c r="S51" s="213"/>
    </row>
    <row r="52" spans="1:23" ht="15" customHeight="1">
      <c r="A52" s="214" t="s">
        <v>77</v>
      </c>
      <c r="B52" s="214"/>
      <c r="C52" s="214"/>
      <c r="D52" s="214"/>
      <c r="E52" s="214"/>
      <c r="F52" s="9"/>
      <c r="G52" s="44"/>
      <c r="H52" s="44"/>
      <c r="I52" s="19"/>
      <c r="J52" s="214" t="s">
        <v>79</v>
      </c>
      <c r="K52" s="214"/>
      <c r="L52" s="214"/>
      <c r="M52" s="214"/>
      <c r="P52" s="215" t="s">
        <v>65</v>
      </c>
      <c r="Q52" s="215"/>
      <c r="R52" s="215"/>
      <c r="S52" s="215"/>
      <c r="V52" s="31"/>
    </row>
    <row r="53" spans="1:23" ht="15" customHeight="1">
      <c r="A53" s="216" t="s">
        <v>78</v>
      </c>
      <c r="B53" s="216"/>
      <c r="C53" s="216"/>
      <c r="D53" s="216"/>
      <c r="E53" s="9"/>
      <c r="F53" s="9"/>
      <c r="G53" s="9"/>
      <c r="H53" s="9"/>
      <c r="I53" s="19"/>
      <c r="J53" s="216" t="s">
        <v>80</v>
      </c>
      <c r="K53" s="216"/>
      <c r="L53" s="216"/>
      <c r="P53" s="217" t="s">
        <v>66</v>
      </c>
      <c r="Q53" s="217"/>
      <c r="R53" s="217"/>
      <c r="S53" s="217"/>
    </row>
    <row r="54" spans="1:23" ht="15" customHeight="1">
      <c r="E54" s="9"/>
      <c r="F54" s="9"/>
      <c r="G54" s="9"/>
      <c r="H54" s="9"/>
      <c r="I54" s="19"/>
      <c r="J54" s="17"/>
    </row>
    <row r="55" spans="1:23">
      <c r="C55" s="79"/>
      <c r="E55" s="9"/>
      <c r="F55" s="9"/>
      <c r="G55" s="9"/>
      <c r="H55" s="9"/>
      <c r="I55" s="19"/>
      <c r="J55" s="17"/>
      <c r="V55" s="8"/>
    </row>
    <row r="56" spans="1:23">
      <c r="E56" s="9"/>
      <c r="F56" s="9"/>
      <c r="G56" s="9"/>
      <c r="H56" s="9"/>
      <c r="I56" s="19"/>
      <c r="J56" s="17"/>
      <c r="L56" s="12"/>
      <c r="P56" s="16"/>
    </row>
    <row r="57" spans="1:23">
      <c r="E57" s="9"/>
      <c r="F57" s="9"/>
      <c r="G57" s="9"/>
      <c r="H57" s="9"/>
      <c r="I57" s="19"/>
      <c r="J57" s="17"/>
    </row>
    <row r="58" spans="1:23" ht="15" customHeight="1">
      <c r="B58" s="209" t="s">
        <v>97</v>
      </c>
      <c r="C58" s="209"/>
      <c r="D58" s="209"/>
      <c r="E58" s="9"/>
      <c r="F58" s="9"/>
      <c r="G58" s="9"/>
      <c r="H58" s="9"/>
      <c r="I58" s="19"/>
      <c r="J58" s="209" t="s">
        <v>59</v>
      </c>
      <c r="K58" s="209"/>
      <c r="L58" s="209"/>
      <c r="M58" s="209"/>
      <c r="P58" s="209" t="s">
        <v>81</v>
      </c>
      <c r="Q58" s="209"/>
      <c r="R58" s="209"/>
      <c r="S58" s="209"/>
    </row>
    <row r="59" spans="1:23" ht="15" customHeight="1"/>
    <row r="60" spans="1:23">
      <c r="A60" s="216"/>
      <c r="B60" s="216"/>
      <c r="C60" s="216"/>
      <c r="D60" s="216"/>
      <c r="E60" s="9"/>
      <c r="F60" s="9"/>
      <c r="G60" s="9"/>
      <c r="H60" s="9"/>
      <c r="I60" s="19"/>
      <c r="J60" s="216"/>
      <c r="K60" s="216"/>
      <c r="L60" s="216"/>
      <c r="P60" s="217"/>
      <c r="Q60" s="217"/>
      <c r="R60" s="217"/>
      <c r="S60" s="217"/>
      <c r="T60" s="217"/>
      <c r="W60" s="38"/>
    </row>
    <row r="61" spans="1:23" ht="30.75" customHeight="1">
      <c r="E61" s="9"/>
      <c r="F61" s="9"/>
      <c r="G61" s="9"/>
      <c r="H61" s="9"/>
      <c r="I61" s="19"/>
      <c r="J61" s="17"/>
    </row>
    <row r="62" spans="1:23" ht="30.75" customHeight="1">
      <c r="E62" s="9"/>
      <c r="F62" s="9"/>
      <c r="G62" s="9"/>
      <c r="H62" s="9"/>
      <c r="I62" s="19"/>
      <c r="J62" s="17"/>
    </row>
    <row r="63" spans="1:23" ht="30.75" customHeight="1">
      <c r="E63" s="9"/>
      <c r="F63" s="9"/>
      <c r="G63" s="9"/>
      <c r="H63" s="9"/>
      <c r="I63" s="19"/>
      <c r="J63" s="17"/>
    </row>
    <row r="64" spans="1:23" ht="30.75" customHeight="1">
      <c r="E64" s="9"/>
      <c r="F64" s="9"/>
      <c r="G64" s="9"/>
      <c r="H64" s="9"/>
      <c r="I64" s="19"/>
      <c r="J64" s="17"/>
    </row>
    <row r="65" spans="1:20" ht="30.75" customHeight="1">
      <c r="E65" s="9"/>
      <c r="F65" s="9"/>
      <c r="G65" s="9"/>
      <c r="H65" s="9"/>
      <c r="I65" s="19"/>
      <c r="J65" s="17"/>
    </row>
    <row r="66" spans="1:20" ht="30.75" customHeight="1">
      <c r="E66" s="9"/>
      <c r="F66" s="9"/>
      <c r="G66" s="9"/>
      <c r="H66" s="9"/>
      <c r="I66" s="19"/>
      <c r="J66" s="17"/>
    </row>
    <row r="67" spans="1:20" ht="15.75">
      <c r="A67" s="227" t="s">
        <v>55</v>
      </c>
      <c r="B67" s="227"/>
      <c r="C67" s="227"/>
      <c r="D67" s="227"/>
      <c r="E67" s="227"/>
      <c r="F67" s="227"/>
      <c r="G67" s="227"/>
      <c r="H67" s="227"/>
      <c r="I67" s="19"/>
      <c r="J67" s="17"/>
      <c r="Q67" s="228" t="s">
        <v>99</v>
      </c>
      <c r="R67" s="228"/>
      <c r="S67" s="228"/>
    </row>
    <row r="68" spans="1:20">
      <c r="A68" s="229" t="s">
        <v>67</v>
      </c>
      <c r="B68" s="229"/>
      <c r="C68" s="229"/>
      <c r="D68" s="229"/>
      <c r="E68" s="229"/>
      <c r="F68" s="229"/>
      <c r="G68" s="229"/>
      <c r="H68" s="9"/>
      <c r="I68" s="19"/>
      <c r="J68" s="17"/>
      <c r="R68" s="230" t="s">
        <v>68</v>
      </c>
      <c r="S68" s="230"/>
    </row>
    <row r="69" spans="1:20" ht="15.75">
      <c r="A69" s="227" t="s">
        <v>56</v>
      </c>
      <c r="B69" s="227"/>
      <c r="C69" s="227"/>
      <c r="D69" s="227"/>
      <c r="E69" s="227"/>
      <c r="F69" s="227"/>
      <c r="G69" s="227"/>
      <c r="H69" s="9"/>
      <c r="I69" s="19"/>
      <c r="J69" s="17"/>
      <c r="R69" s="29" t="s">
        <v>63</v>
      </c>
    </row>
    <row r="70" spans="1:20" ht="20.25">
      <c r="A70" s="231" t="s">
        <v>76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</row>
    <row r="71" spans="1:20" ht="18.75">
      <c r="A71" s="232" t="s">
        <v>160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</row>
    <row r="72" spans="1:20">
      <c r="A72" s="225" t="s">
        <v>0</v>
      </c>
      <c r="B72" s="226" t="s">
        <v>1</v>
      </c>
      <c r="C72" s="226" t="s">
        <v>2</v>
      </c>
      <c r="D72" s="226" t="s">
        <v>3</v>
      </c>
      <c r="E72" s="226" t="s">
        <v>20</v>
      </c>
      <c r="F72" s="226"/>
      <c r="G72" s="226"/>
      <c r="H72" s="226"/>
      <c r="I72" s="226"/>
      <c r="J72" s="226"/>
      <c r="K72" s="226"/>
      <c r="L72" s="226"/>
      <c r="M72" s="233" t="s">
        <v>9</v>
      </c>
      <c r="N72" s="233" t="s">
        <v>11</v>
      </c>
      <c r="O72" s="226" t="s">
        <v>12</v>
      </c>
      <c r="P72" s="234" t="s">
        <v>13</v>
      </c>
      <c r="Q72" s="235"/>
      <c r="R72" s="236"/>
      <c r="S72" s="226" t="s">
        <v>15</v>
      </c>
      <c r="T72" s="218" t="s">
        <v>57</v>
      </c>
    </row>
    <row r="73" spans="1:20">
      <c r="A73" s="225"/>
      <c r="B73" s="226"/>
      <c r="C73" s="226"/>
      <c r="D73" s="226"/>
      <c r="E73" s="221" t="s">
        <v>4</v>
      </c>
      <c r="F73" s="222" t="s">
        <v>5</v>
      </c>
      <c r="G73" s="223" t="s">
        <v>6</v>
      </c>
      <c r="H73" s="223"/>
      <c r="I73" s="223"/>
      <c r="J73" s="223"/>
      <c r="K73" s="224" t="s">
        <v>7</v>
      </c>
      <c r="L73" s="224" t="s">
        <v>8</v>
      </c>
      <c r="M73" s="233"/>
      <c r="N73" s="233"/>
      <c r="O73" s="226"/>
      <c r="P73" s="225" t="s">
        <v>10</v>
      </c>
      <c r="Q73" s="226" t="s">
        <v>85</v>
      </c>
      <c r="R73" s="225" t="s">
        <v>14</v>
      </c>
      <c r="S73" s="226"/>
      <c r="T73" s="219"/>
    </row>
    <row r="74" spans="1:20" ht="63">
      <c r="A74" s="225"/>
      <c r="B74" s="226"/>
      <c r="C74" s="226"/>
      <c r="D74" s="226"/>
      <c r="E74" s="221"/>
      <c r="F74" s="222"/>
      <c r="G74" s="80" t="s">
        <v>26</v>
      </c>
      <c r="H74" s="80" t="s">
        <v>86</v>
      </c>
      <c r="I74" s="20" t="s">
        <v>24</v>
      </c>
      <c r="J74" s="18" t="s">
        <v>25</v>
      </c>
      <c r="K74" s="224"/>
      <c r="L74" s="224"/>
      <c r="M74" s="233"/>
      <c r="N74" s="233"/>
      <c r="O74" s="226"/>
      <c r="P74" s="225"/>
      <c r="Q74" s="226"/>
      <c r="R74" s="225"/>
      <c r="S74" s="226"/>
      <c r="T74" s="220"/>
    </row>
    <row r="75" spans="1:20">
      <c r="A75" s="4" t="s">
        <v>16</v>
      </c>
      <c r="B75" s="4" t="s">
        <v>17</v>
      </c>
      <c r="C75" s="4" t="s">
        <v>18</v>
      </c>
      <c r="D75" s="4" t="s">
        <v>19</v>
      </c>
      <c r="E75" s="13">
        <v>1</v>
      </c>
      <c r="F75" s="13">
        <v>2</v>
      </c>
      <c r="G75" s="13">
        <v>3</v>
      </c>
      <c r="H75" s="13">
        <v>4</v>
      </c>
      <c r="I75" s="13">
        <v>5</v>
      </c>
      <c r="J75" s="23">
        <v>6</v>
      </c>
      <c r="K75" s="4">
        <v>7</v>
      </c>
      <c r="L75" s="4">
        <v>8</v>
      </c>
      <c r="M75" s="4">
        <v>9</v>
      </c>
      <c r="N75" s="4">
        <v>10</v>
      </c>
      <c r="O75" s="30" t="s">
        <v>87</v>
      </c>
      <c r="P75" s="30">
        <v>12</v>
      </c>
      <c r="Q75" s="30">
        <v>13</v>
      </c>
      <c r="R75" s="30">
        <v>14</v>
      </c>
      <c r="S75" s="30" t="s">
        <v>88</v>
      </c>
      <c r="T75" s="2"/>
    </row>
    <row r="76" spans="1:20" ht="16.5">
      <c r="A76" s="21">
        <v>1</v>
      </c>
      <c r="B76" s="39" t="s">
        <v>89</v>
      </c>
      <c r="C76" s="42" t="s">
        <v>60</v>
      </c>
      <c r="D76" s="46" t="s">
        <v>61</v>
      </c>
      <c r="E76" s="47">
        <v>5.0199999999999996</v>
      </c>
      <c r="F76" s="47">
        <v>0.35</v>
      </c>
      <c r="G76" s="25"/>
      <c r="H76" s="22"/>
      <c r="I76" s="48">
        <f>(E76+F76+G76)*23/100</f>
        <v>1.2350999999999999</v>
      </c>
      <c r="J76" s="49">
        <f>30/100*(E76+F76+G76)</f>
        <v>1.6109999999999998</v>
      </c>
      <c r="K76" s="50">
        <f>E76+F76+G76+H76+I76+J76</f>
        <v>8.2160999999999991</v>
      </c>
      <c r="L76" s="51">
        <f>K76*1490000</f>
        <v>12241988.999999998</v>
      </c>
      <c r="M76" s="52"/>
      <c r="N76" s="52"/>
      <c r="O76" s="51">
        <f>L76-M76+N76</f>
        <v>12241988.999999998</v>
      </c>
      <c r="P76" s="53">
        <f>((E76+F76+G76+I76)*1490000-M76)*10.5%</f>
        <v>1033367.8949999998</v>
      </c>
      <c r="Q76" s="54"/>
      <c r="R76" s="53">
        <f>P76+Q76</f>
        <v>1033367.8949999998</v>
      </c>
      <c r="S76" s="53">
        <f t="shared" ref="S76:S77" si="26">O76-R76</f>
        <v>11208621.104999999</v>
      </c>
      <c r="T76" s="41"/>
    </row>
    <row r="77" spans="1:20" ht="15.75">
      <c r="A77" s="21">
        <v>2</v>
      </c>
      <c r="B77" s="39" t="s">
        <v>21</v>
      </c>
      <c r="C77" s="40" t="s">
        <v>28</v>
      </c>
      <c r="D77" s="55" t="s">
        <v>27</v>
      </c>
      <c r="E77" s="24">
        <v>4.9800000000000004</v>
      </c>
      <c r="F77" s="56"/>
      <c r="G77" s="57">
        <f>E77*6%</f>
        <v>0.29880000000000001</v>
      </c>
      <c r="H77" s="10"/>
      <c r="I77" s="48">
        <f>(E77+F77+G77)*25/100</f>
        <v>1.3197000000000001</v>
      </c>
      <c r="J77" s="49">
        <f>30/100*(E77+F77+G77)</f>
        <v>1.5836400000000002</v>
      </c>
      <c r="K77" s="50">
        <f>E77+F77+G77+H77+I77+J77</f>
        <v>8.1821400000000004</v>
      </c>
      <c r="L77" s="51">
        <f>K77*1490000</f>
        <v>12191388.600000001</v>
      </c>
      <c r="M77" s="58"/>
      <c r="N77" s="58"/>
      <c r="O77" s="51">
        <f>L77-M77+N77</f>
        <v>12191388.600000001</v>
      </c>
      <c r="P77" s="53">
        <f>((E77+F77+G77+I77)*1490000-M77)*10.5%</f>
        <v>1032335.325</v>
      </c>
      <c r="Q77" s="54"/>
      <c r="R77" s="53">
        <f t="shared" ref="R77:R112" si="27">P77+Q77</f>
        <v>1032335.325</v>
      </c>
      <c r="S77" s="53">
        <f t="shared" si="26"/>
        <v>11159053.275000002</v>
      </c>
      <c r="T77" s="59">
        <v>0.06</v>
      </c>
    </row>
    <row r="78" spans="1:20" ht="16.5">
      <c r="A78" s="21">
        <v>3</v>
      </c>
      <c r="B78" s="39" t="s">
        <v>22</v>
      </c>
      <c r="C78" s="40" t="s">
        <v>30</v>
      </c>
      <c r="D78" s="55" t="s">
        <v>90</v>
      </c>
      <c r="E78" s="24">
        <v>4.8899999999999997</v>
      </c>
      <c r="F78" s="47">
        <v>0.15</v>
      </c>
      <c r="G78" s="57"/>
      <c r="H78" s="10"/>
      <c r="I78" s="48">
        <f>(E78+F78+G78)*31/100</f>
        <v>1.5624</v>
      </c>
      <c r="J78" s="49">
        <f>30/100*(E78+F78+G78)</f>
        <v>1.512</v>
      </c>
      <c r="K78" s="50">
        <f t="shared" ref="K78:K106" si="28">E78+F78+G78+H78+I78+J78</f>
        <v>8.1143999999999998</v>
      </c>
      <c r="L78" s="51">
        <f t="shared" ref="L78:L108" si="29">K78*1490000</f>
        <v>12090456</v>
      </c>
      <c r="M78" s="58"/>
      <c r="N78" s="58"/>
      <c r="O78" s="51">
        <f t="shared" ref="O78:O95" si="30">L78-M78+N78</f>
        <v>12090456</v>
      </c>
      <c r="P78" s="53">
        <f t="shared" ref="P78:P85" si="31">((E78+F78+G78+I78)*1490000-M78)*10.5%</f>
        <v>1032945.48</v>
      </c>
      <c r="Q78" s="54"/>
      <c r="R78" s="53">
        <f t="shared" si="27"/>
        <v>1032945.48</v>
      </c>
      <c r="S78" s="53">
        <f>O78-R78</f>
        <v>11057510.52</v>
      </c>
      <c r="T78" s="2"/>
    </row>
    <row r="79" spans="1:20" ht="15.75">
      <c r="A79" s="21">
        <v>4</v>
      </c>
      <c r="B79" s="39" t="s">
        <v>21</v>
      </c>
      <c r="C79" s="40" t="s">
        <v>32</v>
      </c>
      <c r="D79" s="55" t="s">
        <v>29</v>
      </c>
      <c r="E79" s="24">
        <v>4.9800000000000004</v>
      </c>
      <c r="F79" s="47">
        <v>0.2</v>
      </c>
      <c r="G79" s="57">
        <f>E79*5%</f>
        <v>0.24900000000000003</v>
      </c>
      <c r="H79" s="10"/>
      <c r="I79" s="48">
        <f>(E79+F79+G79)*23%</f>
        <v>1.2486700000000002</v>
      </c>
      <c r="J79" s="49">
        <f t="shared" ref="J79" si="32">30/100*(E79+F79+G79)</f>
        <v>1.6287</v>
      </c>
      <c r="K79" s="50">
        <f t="shared" si="28"/>
        <v>8.3063700000000011</v>
      </c>
      <c r="L79" s="51">
        <f t="shared" si="29"/>
        <v>12376491.300000003</v>
      </c>
      <c r="M79" s="58"/>
      <c r="N79" s="58"/>
      <c r="O79" s="51">
        <f t="shared" si="30"/>
        <v>12376491.300000003</v>
      </c>
      <c r="P79" s="53">
        <f t="shared" si="31"/>
        <v>1044721.4715</v>
      </c>
      <c r="Q79" s="54"/>
      <c r="R79" s="53">
        <f t="shared" si="27"/>
        <v>1044721.4715</v>
      </c>
      <c r="S79" s="53">
        <f t="shared" ref="S79:S81" si="33">O79-R79</f>
        <v>11331769.828500003</v>
      </c>
      <c r="T79" s="59">
        <v>0.05</v>
      </c>
    </row>
    <row r="80" spans="1:20" ht="15.75">
      <c r="A80" s="21">
        <v>5</v>
      </c>
      <c r="B80" s="39" t="s">
        <v>21</v>
      </c>
      <c r="C80" s="40" t="s">
        <v>82</v>
      </c>
      <c r="D80" s="55" t="s">
        <v>29</v>
      </c>
      <c r="E80" s="24">
        <v>4.9800000000000004</v>
      </c>
      <c r="F80" s="47">
        <v>0.2</v>
      </c>
      <c r="G80" s="57">
        <f>E80*6%</f>
        <v>0.29880000000000001</v>
      </c>
      <c r="H80" s="10"/>
      <c r="I80" s="48">
        <f>(E80+F80+G80)*26%</f>
        <v>1.4244880000000002</v>
      </c>
      <c r="J80" s="49">
        <f>30/100*(E80+F80+G80)</f>
        <v>1.6436400000000002</v>
      </c>
      <c r="K80" s="50">
        <f t="shared" si="28"/>
        <v>8.5469280000000012</v>
      </c>
      <c r="L80" s="51">
        <f t="shared" si="29"/>
        <v>12734922.720000003</v>
      </c>
      <c r="M80" s="58"/>
      <c r="N80" s="58"/>
      <c r="O80" s="51">
        <f t="shared" si="30"/>
        <v>12734922.720000003</v>
      </c>
      <c r="P80" s="53">
        <f t="shared" si="31"/>
        <v>1080019.4076</v>
      </c>
      <c r="Q80" s="54"/>
      <c r="R80" s="53">
        <f t="shared" si="27"/>
        <v>1080019.4076</v>
      </c>
      <c r="S80" s="53">
        <f t="shared" si="33"/>
        <v>11654903.312400002</v>
      </c>
      <c r="T80" s="59">
        <v>0.06</v>
      </c>
    </row>
    <row r="81" spans="1:20" ht="15.75">
      <c r="A81" s="21">
        <v>6</v>
      </c>
      <c r="B81" s="39" t="s">
        <v>21</v>
      </c>
      <c r="C81" s="40" t="s">
        <v>84</v>
      </c>
      <c r="D81" s="55" t="s">
        <v>62</v>
      </c>
      <c r="E81" s="24">
        <v>4.6500000000000004</v>
      </c>
      <c r="F81" s="47">
        <v>0.25</v>
      </c>
      <c r="G81" s="14"/>
      <c r="H81" s="10"/>
      <c r="I81" s="48">
        <f>(E81+F81+G81)*21%</f>
        <v>1.0290000000000001</v>
      </c>
      <c r="J81" s="49">
        <f t="shared" ref="J81" si="34">30/100*(E81+F81+G81)</f>
        <v>1.47</v>
      </c>
      <c r="K81" s="50">
        <f t="shared" si="28"/>
        <v>7.399</v>
      </c>
      <c r="L81" s="51">
        <f t="shared" si="29"/>
        <v>11024510</v>
      </c>
      <c r="M81" s="58"/>
      <c r="N81" s="58"/>
      <c r="O81" s="51">
        <f t="shared" si="30"/>
        <v>11024510</v>
      </c>
      <c r="P81" s="53">
        <f t="shared" si="31"/>
        <v>927592.04999999993</v>
      </c>
      <c r="Q81" s="54"/>
      <c r="R81" s="53">
        <f t="shared" si="27"/>
        <v>927592.04999999993</v>
      </c>
      <c r="S81" s="53">
        <f t="shared" si="33"/>
        <v>10096917.949999999</v>
      </c>
      <c r="T81" s="41"/>
    </row>
    <row r="82" spans="1:20" ht="16.5">
      <c r="A82" s="21">
        <v>7</v>
      </c>
      <c r="B82" s="39" t="s">
        <v>22</v>
      </c>
      <c r="C82" s="42" t="s">
        <v>31</v>
      </c>
      <c r="D82" s="55" t="s">
        <v>27</v>
      </c>
      <c r="E82" s="24">
        <v>4.8899999999999997</v>
      </c>
      <c r="F82" s="47"/>
      <c r="G82" s="57"/>
      <c r="H82" s="10"/>
      <c r="I82" s="48">
        <f>(E82+F82+G82)*26/100</f>
        <v>1.2713999999999999</v>
      </c>
      <c r="J82" s="49">
        <f>30/100*(E82+F82+G82)</f>
        <v>1.4669999999999999</v>
      </c>
      <c r="K82" s="50">
        <f t="shared" si="28"/>
        <v>7.6283999999999992</v>
      </c>
      <c r="L82" s="51">
        <f t="shared" si="29"/>
        <v>11366315.999999998</v>
      </c>
      <c r="M82" s="58"/>
      <c r="N82" s="58"/>
      <c r="O82" s="51">
        <f t="shared" si="30"/>
        <v>11366315.999999998</v>
      </c>
      <c r="P82" s="53">
        <f t="shared" si="31"/>
        <v>963951.02999999991</v>
      </c>
      <c r="Q82" s="54"/>
      <c r="R82" s="53">
        <f t="shared" si="27"/>
        <v>963951.02999999991</v>
      </c>
      <c r="S82" s="53">
        <f>O82-R82</f>
        <v>10402364.969999999</v>
      </c>
      <c r="T82" s="41"/>
    </row>
    <row r="83" spans="1:20" ht="15.75">
      <c r="A83" s="21">
        <v>8</v>
      </c>
      <c r="B83" s="39" t="s">
        <v>21</v>
      </c>
      <c r="C83" s="26" t="s">
        <v>70</v>
      </c>
      <c r="D83" s="55" t="s">
        <v>27</v>
      </c>
      <c r="E83" s="24">
        <v>4.6500000000000004</v>
      </c>
      <c r="F83" s="47"/>
      <c r="G83" s="14"/>
      <c r="H83" s="10"/>
      <c r="I83" s="48">
        <f>(E83+F83+G83)*22/100</f>
        <v>1.0230000000000001</v>
      </c>
      <c r="J83" s="49">
        <f t="shared" ref="J83:J85" si="35">30/100*(E83+F83+G83)</f>
        <v>1.395</v>
      </c>
      <c r="K83" s="50">
        <f t="shared" si="28"/>
        <v>7.0679999999999996</v>
      </c>
      <c r="L83" s="51">
        <f t="shared" si="29"/>
        <v>10531320</v>
      </c>
      <c r="M83" s="58"/>
      <c r="N83" s="58"/>
      <c r="O83" s="51">
        <f t="shared" si="30"/>
        <v>10531320</v>
      </c>
      <c r="P83" s="53">
        <f t="shared" si="31"/>
        <v>887540.85</v>
      </c>
      <c r="Q83" s="54"/>
      <c r="R83" s="53">
        <f t="shared" si="27"/>
        <v>887540.85</v>
      </c>
      <c r="S83" s="53">
        <f t="shared" ref="S83:S86" si="36">O83-R83</f>
        <v>9643779.1500000004</v>
      </c>
      <c r="T83" s="41"/>
    </row>
    <row r="84" spans="1:20" ht="15.75">
      <c r="A84" s="21">
        <v>9</v>
      </c>
      <c r="B84" s="39" t="s">
        <v>21</v>
      </c>
      <c r="C84" s="26" t="s">
        <v>33</v>
      </c>
      <c r="D84" s="55" t="s">
        <v>29</v>
      </c>
      <c r="E84" s="24">
        <v>4.6500000000000004</v>
      </c>
      <c r="F84" s="47">
        <v>0.2</v>
      </c>
      <c r="G84" s="14"/>
      <c r="H84" s="10"/>
      <c r="I84" s="48">
        <f>(E84+F84+G84)*21/100</f>
        <v>1.0185000000000002</v>
      </c>
      <c r="J84" s="49">
        <f t="shared" si="35"/>
        <v>1.4550000000000001</v>
      </c>
      <c r="K84" s="50">
        <f t="shared" si="28"/>
        <v>7.323500000000001</v>
      </c>
      <c r="L84" s="51">
        <f t="shared" si="29"/>
        <v>10912015.000000002</v>
      </c>
      <c r="M84" s="58"/>
      <c r="N84" s="58"/>
      <c r="O84" s="51">
        <f t="shared" si="30"/>
        <v>10912015.000000002</v>
      </c>
      <c r="P84" s="53">
        <f t="shared" si="31"/>
        <v>918126.82500000019</v>
      </c>
      <c r="Q84" s="54"/>
      <c r="R84" s="53">
        <f t="shared" si="27"/>
        <v>918126.82500000019</v>
      </c>
      <c r="S84" s="53">
        <f t="shared" si="36"/>
        <v>9993888.1750000007</v>
      </c>
      <c r="T84" s="41"/>
    </row>
    <row r="85" spans="1:20" ht="15.75">
      <c r="A85" s="21">
        <v>10</v>
      </c>
      <c r="B85" s="39" t="s">
        <v>21</v>
      </c>
      <c r="C85" s="26" t="s">
        <v>34</v>
      </c>
      <c r="D85" s="55" t="s">
        <v>27</v>
      </c>
      <c r="E85" s="24">
        <v>4.32</v>
      </c>
      <c r="F85" s="47"/>
      <c r="G85" s="14"/>
      <c r="H85" s="10"/>
      <c r="I85" s="48">
        <f>(E85+F85+G85)*18/100</f>
        <v>0.77760000000000007</v>
      </c>
      <c r="J85" s="49">
        <f t="shared" si="35"/>
        <v>1.296</v>
      </c>
      <c r="K85" s="50">
        <f t="shared" si="28"/>
        <v>6.3936000000000002</v>
      </c>
      <c r="L85" s="51">
        <f t="shared" si="29"/>
        <v>9526464</v>
      </c>
      <c r="M85" s="58"/>
      <c r="N85" s="58"/>
      <c r="O85" s="51">
        <f t="shared" si="30"/>
        <v>9526464</v>
      </c>
      <c r="P85" s="53">
        <f t="shared" si="31"/>
        <v>797519.52</v>
      </c>
      <c r="Q85" s="54"/>
      <c r="R85" s="53">
        <f t="shared" si="27"/>
        <v>797519.52</v>
      </c>
      <c r="S85" s="53">
        <f t="shared" si="36"/>
        <v>8728944.4800000004</v>
      </c>
      <c r="T85" s="41"/>
    </row>
    <row r="86" spans="1:20">
      <c r="A86" s="21">
        <v>11</v>
      </c>
      <c r="B86" s="39" t="s">
        <v>21</v>
      </c>
      <c r="C86" s="42" t="s">
        <v>36</v>
      </c>
      <c r="D86" s="55" t="s">
        <v>29</v>
      </c>
      <c r="E86" s="24">
        <v>4.32</v>
      </c>
      <c r="F86" s="47">
        <v>0.2</v>
      </c>
      <c r="G86" s="33"/>
      <c r="H86" s="35"/>
      <c r="I86" s="48">
        <f>(E86+F86+G86)*19%</f>
        <v>0.85880000000000012</v>
      </c>
      <c r="J86" s="49">
        <f>30/100*(E86+F86+G86)</f>
        <v>1.3560000000000001</v>
      </c>
      <c r="K86" s="50">
        <f t="shared" si="28"/>
        <v>6.7348000000000008</v>
      </c>
      <c r="L86" s="51">
        <f t="shared" si="29"/>
        <v>10034852.000000002</v>
      </c>
      <c r="M86" s="58"/>
      <c r="N86" s="58"/>
      <c r="O86" s="51">
        <f t="shared" si="30"/>
        <v>10034852.000000002</v>
      </c>
      <c r="P86" s="53">
        <f>((E86+F86+G86+I86)*1490000-M86)*10.5%</f>
        <v>841513.26</v>
      </c>
      <c r="Q86" s="54"/>
      <c r="R86" s="53">
        <f t="shared" si="27"/>
        <v>841513.26</v>
      </c>
      <c r="S86" s="53">
        <f t="shared" si="36"/>
        <v>9193338.7400000021</v>
      </c>
      <c r="T86" s="2"/>
    </row>
    <row r="87" spans="1:20">
      <c r="A87" s="21">
        <v>12</v>
      </c>
      <c r="B87" s="39" t="s">
        <v>64</v>
      </c>
      <c r="C87" s="26" t="s">
        <v>59</v>
      </c>
      <c r="D87" s="55" t="s">
        <v>35</v>
      </c>
      <c r="E87" s="24">
        <v>4.2699999999999996</v>
      </c>
      <c r="F87" s="47">
        <v>0.2</v>
      </c>
      <c r="G87" s="33"/>
      <c r="H87" s="34">
        <v>0.1</v>
      </c>
      <c r="I87" s="48"/>
      <c r="J87" s="49"/>
      <c r="K87" s="50">
        <f t="shared" si="28"/>
        <v>4.5699999999999994</v>
      </c>
      <c r="L87" s="51">
        <f t="shared" si="29"/>
        <v>6809299.9999999991</v>
      </c>
      <c r="M87" s="58"/>
      <c r="N87" s="58"/>
      <c r="O87" s="51">
        <f t="shared" si="30"/>
        <v>6809299.9999999991</v>
      </c>
      <c r="P87" s="53">
        <f>((E87+F87+G87+I87)*1490000-M87)*10.5%</f>
        <v>699331.5</v>
      </c>
      <c r="Q87" s="54"/>
      <c r="R87" s="53">
        <f t="shared" si="27"/>
        <v>699331.5</v>
      </c>
      <c r="S87" s="53">
        <f>O87-R87</f>
        <v>6109968.4999999991</v>
      </c>
      <c r="T87" s="2"/>
    </row>
    <row r="88" spans="1:20">
      <c r="A88" s="21">
        <v>13</v>
      </c>
      <c r="B88" s="39" t="s">
        <v>21</v>
      </c>
      <c r="C88" s="40" t="s">
        <v>69</v>
      </c>
      <c r="D88" s="55" t="s">
        <v>27</v>
      </c>
      <c r="E88" s="24">
        <v>4.32</v>
      </c>
      <c r="F88" s="47"/>
      <c r="G88" s="33"/>
      <c r="H88" s="35"/>
      <c r="I88" s="48">
        <f>(E88+F88+G88)*19/100</f>
        <v>0.82080000000000009</v>
      </c>
      <c r="J88" s="49">
        <f>30/100*(E88+F88+G88)</f>
        <v>1.296</v>
      </c>
      <c r="K88" s="50">
        <f t="shared" si="28"/>
        <v>6.4368000000000007</v>
      </c>
      <c r="L88" s="51">
        <f t="shared" si="29"/>
        <v>9590832.0000000019</v>
      </c>
      <c r="M88" s="58"/>
      <c r="N88" s="58"/>
      <c r="O88" s="51">
        <f t="shared" si="30"/>
        <v>9590832.0000000019</v>
      </c>
      <c r="P88" s="53">
        <f t="shared" ref="P88:P106" si="37">((E88+F88+G88+I88)*1490000-M88)*10.5%</f>
        <v>804278.16</v>
      </c>
      <c r="Q88" s="54"/>
      <c r="R88" s="53">
        <f t="shared" si="27"/>
        <v>804278.16</v>
      </c>
      <c r="S88" s="53">
        <f t="shared" ref="S88:S95" si="38">O88-R88</f>
        <v>8786553.8400000017</v>
      </c>
      <c r="T88" s="2"/>
    </row>
    <row r="89" spans="1:20">
      <c r="A89" s="21">
        <v>14</v>
      </c>
      <c r="B89" s="39" t="s">
        <v>21</v>
      </c>
      <c r="C89" s="40" t="s">
        <v>37</v>
      </c>
      <c r="D89" s="55" t="s">
        <v>27</v>
      </c>
      <c r="E89" s="24">
        <v>4.32</v>
      </c>
      <c r="F89" s="24"/>
      <c r="G89" s="33"/>
      <c r="H89" s="35"/>
      <c r="I89" s="48">
        <f>(E89+F89+G89)*19/100</f>
        <v>0.82080000000000009</v>
      </c>
      <c r="J89" s="49">
        <f>30/100*(E89+F89+G89)</f>
        <v>1.296</v>
      </c>
      <c r="K89" s="50">
        <f t="shared" si="28"/>
        <v>6.4368000000000007</v>
      </c>
      <c r="L89" s="51">
        <f t="shared" si="29"/>
        <v>9590832.0000000019</v>
      </c>
      <c r="M89" s="58"/>
      <c r="N89" s="58"/>
      <c r="O89" s="51">
        <f t="shared" si="30"/>
        <v>9590832.0000000019</v>
      </c>
      <c r="P89" s="53">
        <f t="shared" si="37"/>
        <v>804278.16</v>
      </c>
      <c r="Q89" s="54"/>
      <c r="R89" s="53">
        <f t="shared" si="27"/>
        <v>804278.16</v>
      </c>
      <c r="S89" s="53">
        <f t="shared" si="38"/>
        <v>8786553.8400000017</v>
      </c>
      <c r="T89" s="2"/>
    </row>
    <row r="90" spans="1:20">
      <c r="A90" s="21">
        <v>15</v>
      </c>
      <c r="B90" s="39" t="s">
        <v>21</v>
      </c>
      <c r="C90" s="40" t="s">
        <v>71</v>
      </c>
      <c r="D90" s="55" t="s">
        <v>27</v>
      </c>
      <c r="E90" s="24">
        <v>4.32</v>
      </c>
      <c r="F90" s="24"/>
      <c r="G90" s="33"/>
      <c r="H90" s="35"/>
      <c r="I90" s="48">
        <f>(E90+F90+G90)*19/100</f>
        <v>0.82080000000000009</v>
      </c>
      <c r="J90" s="49">
        <f t="shared" ref="J90:J92" si="39">30/100*(E90+F90+G90)</f>
        <v>1.296</v>
      </c>
      <c r="K90" s="50">
        <f t="shared" si="28"/>
        <v>6.4368000000000007</v>
      </c>
      <c r="L90" s="51">
        <f t="shared" si="29"/>
        <v>9590832.0000000019</v>
      </c>
      <c r="M90" s="58"/>
      <c r="N90" s="58"/>
      <c r="O90" s="51">
        <f t="shared" si="30"/>
        <v>9590832.0000000019</v>
      </c>
      <c r="P90" s="53">
        <f t="shared" si="37"/>
        <v>804278.16</v>
      </c>
      <c r="Q90" s="54"/>
      <c r="R90" s="53">
        <f t="shared" si="27"/>
        <v>804278.16</v>
      </c>
      <c r="S90" s="53">
        <f t="shared" si="38"/>
        <v>8786553.8400000017</v>
      </c>
      <c r="T90" s="41"/>
    </row>
    <row r="91" spans="1:20">
      <c r="A91" s="21">
        <v>16</v>
      </c>
      <c r="B91" s="39" t="s">
        <v>21</v>
      </c>
      <c r="C91" s="40" t="s">
        <v>38</v>
      </c>
      <c r="D91" s="55" t="s">
        <v>27</v>
      </c>
      <c r="E91" s="24">
        <v>4.32</v>
      </c>
      <c r="F91" s="24"/>
      <c r="G91" s="33"/>
      <c r="H91" s="35"/>
      <c r="I91" s="48">
        <f>(E91+F91+G91)*17%</f>
        <v>0.73440000000000005</v>
      </c>
      <c r="J91" s="49">
        <f t="shared" si="39"/>
        <v>1.296</v>
      </c>
      <c r="K91" s="50">
        <f t="shared" si="28"/>
        <v>6.3504000000000005</v>
      </c>
      <c r="L91" s="51">
        <f t="shared" si="29"/>
        <v>9462096</v>
      </c>
      <c r="M91" s="58"/>
      <c r="N91" s="58"/>
      <c r="O91" s="51">
        <f t="shared" si="30"/>
        <v>9462096</v>
      </c>
      <c r="P91" s="53">
        <f t="shared" si="37"/>
        <v>790760.88</v>
      </c>
      <c r="Q91" s="54"/>
      <c r="R91" s="53">
        <f t="shared" si="27"/>
        <v>790760.88</v>
      </c>
      <c r="S91" s="53">
        <f t="shared" si="38"/>
        <v>8671335.1199999992</v>
      </c>
      <c r="T91" s="41"/>
    </row>
    <row r="92" spans="1:20">
      <c r="A92" s="21">
        <v>17</v>
      </c>
      <c r="B92" s="39" t="s">
        <v>21</v>
      </c>
      <c r="C92" s="40" t="s">
        <v>72</v>
      </c>
      <c r="D92" s="55" t="s">
        <v>27</v>
      </c>
      <c r="E92" s="24">
        <v>4.32</v>
      </c>
      <c r="F92" s="24"/>
      <c r="G92" s="33"/>
      <c r="H92" s="35"/>
      <c r="I92" s="48">
        <f>(E92+F92+G92)*17%</f>
        <v>0.73440000000000005</v>
      </c>
      <c r="J92" s="49">
        <f t="shared" si="39"/>
        <v>1.296</v>
      </c>
      <c r="K92" s="50">
        <f t="shared" si="28"/>
        <v>6.3504000000000005</v>
      </c>
      <c r="L92" s="51">
        <f t="shared" si="29"/>
        <v>9462096</v>
      </c>
      <c r="M92" s="58"/>
      <c r="N92" s="58"/>
      <c r="O92" s="51">
        <f t="shared" si="30"/>
        <v>9462096</v>
      </c>
      <c r="P92" s="53">
        <f t="shared" si="37"/>
        <v>790760.88</v>
      </c>
      <c r="Q92" s="54"/>
      <c r="R92" s="53">
        <f t="shared" si="27"/>
        <v>790760.88</v>
      </c>
      <c r="S92" s="53">
        <f t="shared" si="38"/>
        <v>8671335.1199999992</v>
      </c>
      <c r="T92" s="41"/>
    </row>
    <row r="93" spans="1:20">
      <c r="A93" s="21">
        <v>18</v>
      </c>
      <c r="B93" s="39" t="s">
        <v>21</v>
      </c>
      <c r="C93" s="40" t="s">
        <v>91</v>
      </c>
      <c r="D93" s="55" t="s">
        <v>27</v>
      </c>
      <c r="E93" s="24">
        <v>4.32</v>
      </c>
      <c r="F93" s="24">
        <v>0.15</v>
      </c>
      <c r="G93" s="60"/>
      <c r="H93" s="35"/>
      <c r="I93" s="48">
        <f>(E93+F93+G93)*18%</f>
        <v>0.80460000000000009</v>
      </c>
      <c r="J93" s="49">
        <f>30/100*(E93+F93+G93)</f>
        <v>1.3410000000000002</v>
      </c>
      <c r="K93" s="61">
        <f t="shared" si="28"/>
        <v>6.6156000000000006</v>
      </c>
      <c r="L93" s="62">
        <f t="shared" si="29"/>
        <v>9857244</v>
      </c>
      <c r="M93" s="63"/>
      <c r="N93" s="63"/>
      <c r="O93" s="62">
        <f t="shared" si="30"/>
        <v>9857244</v>
      </c>
      <c r="P93" s="64">
        <f t="shared" si="37"/>
        <v>825211.17</v>
      </c>
      <c r="Q93" s="54"/>
      <c r="R93" s="64">
        <f t="shared" si="27"/>
        <v>825211.17</v>
      </c>
      <c r="S93" s="64">
        <f t="shared" si="38"/>
        <v>9032032.8300000001</v>
      </c>
      <c r="T93" s="41"/>
    </row>
    <row r="94" spans="1:20">
      <c r="A94" s="21">
        <v>19</v>
      </c>
      <c r="B94" s="39" t="s">
        <v>21</v>
      </c>
      <c r="C94" s="40" t="s">
        <v>39</v>
      </c>
      <c r="D94" s="55" t="s">
        <v>27</v>
      </c>
      <c r="E94" s="24">
        <v>4.32</v>
      </c>
      <c r="F94" s="24"/>
      <c r="G94" s="33"/>
      <c r="H94" s="36"/>
      <c r="I94" s="48">
        <f>(E94+F94+G94)*21%</f>
        <v>0.90720000000000001</v>
      </c>
      <c r="J94" s="49">
        <f>30/100*(E94+F94+G94)</f>
        <v>1.296</v>
      </c>
      <c r="K94" s="50">
        <f t="shared" si="28"/>
        <v>6.5232000000000001</v>
      </c>
      <c r="L94" s="51">
        <f t="shared" si="29"/>
        <v>9719568</v>
      </c>
      <c r="M94" s="58"/>
      <c r="N94" s="58"/>
      <c r="O94" s="51">
        <f t="shared" si="30"/>
        <v>9719568</v>
      </c>
      <c r="P94" s="53">
        <f t="shared" si="37"/>
        <v>817795.44</v>
      </c>
      <c r="Q94" s="54"/>
      <c r="R94" s="53">
        <f t="shared" si="27"/>
        <v>817795.44</v>
      </c>
      <c r="S94" s="53">
        <f t="shared" si="38"/>
        <v>8901772.5600000005</v>
      </c>
      <c r="T94" s="41"/>
    </row>
    <row r="95" spans="1:20" ht="16.5">
      <c r="A95" s="21">
        <v>20</v>
      </c>
      <c r="B95" s="39" t="s">
        <v>22</v>
      </c>
      <c r="C95" s="40" t="s">
        <v>40</v>
      </c>
      <c r="D95" s="55" t="s">
        <v>90</v>
      </c>
      <c r="E95" s="24">
        <v>3.96</v>
      </c>
      <c r="F95" s="24">
        <v>0.15</v>
      </c>
      <c r="G95" s="33"/>
      <c r="H95" s="36"/>
      <c r="I95" s="48">
        <f>(E95+F95+G95)*17/100</f>
        <v>0.6987000000000001</v>
      </c>
      <c r="J95" s="49">
        <f t="shared" ref="J95" si="40">30/100*(E95+F95+G95)</f>
        <v>1.2330000000000001</v>
      </c>
      <c r="K95" s="50">
        <f t="shared" si="28"/>
        <v>6.0417000000000005</v>
      </c>
      <c r="L95" s="51">
        <f t="shared" si="29"/>
        <v>9002133</v>
      </c>
      <c r="M95" s="58"/>
      <c r="N95" s="58"/>
      <c r="O95" s="51">
        <f t="shared" si="30"/>
        <v>9002133</v>
      </c>
      <c r="P95" s="53">
        <f t="shared" si="37"/>
        <v>752321.11499999999</v>
      </c>
      <c r="Q95" s="54"/>
      <c r="R95" s="53">
        <f t="shared" si="27"/>
        <v>752321.11499999999</v>
      </c>
      <c r="S95" s="53">
        <f t="shared" si="38"/>
        <v>8249811.8849999998</v>
      </c>
      <c r="T95" s="41"/>
    </row>
    <row r="96" spans="1:20" ht="15.75">
      <c r="A96" s="21">
        <v>21</v>
      </c>
      <c r="B96" s="39" t="s">
        <v>21</v>
      </c>
      <c r="C96" s="40" t="s">
        <v>73</v>
      </c>
      <c r="D96" s="55" t="s">
        <v>27</v>
      </c>
      <c r="E96" s="24">
        <v>3.99</v>
      </c>
      <c r="F96" s="24"/>
      <c r="G96" s="14"/>
      <c r="H96" s="10"/>
      <c r="I96" s="48">
        <f>(E96+F96+G96)*17%</f>
        <v>0.67830000000000013</v>
      </c>
      <c r="J96" s="49">
        <f>30/100*(E96+F96+G96)</f>
        <v>1.1970000000000001</v>
      </c>
      <c r="K96" s="50">
        <f t="shared" si="28"/>
        <v>5.8653000000000004</v>
      </c>
      <c r="L96" s="51">
        <f t="shared" si="29"/>
        <v>8739297</v>
      </c>
      <c r="M96" s="65"/>
      <c r="N96" s="65"/>
      <c r="O96" s="51">
        <f>L96-M96+N96</f>
        <v>8739297</v>
      </c>
      <c r="P96" s="53">
        <f t="shared" si="37"/>
        <v>730355.53500000003</v>
      </c>
      <c r="Q96" s="54"/>
      <c r="R96" s="53">
        <f t="shared" si="27"/>
        <v>730355.53500000003</v>
      </c>
      <c r="S96" s="53">
        <f>O96-R96-N96</f>
        <v>8008941.4649999999</v>
      </c>
      <c r="T96" s="41"/>
    </row>
    <row r="97" spans="1:20" ht="15.75">
      <c r="A97" s="21">
        <v>22</v>
      </c>
      <c r="B97" s="39" t="s">
        <v>21</v>
      </c>
      <c r="C97" s="40" t="s">
        <v>41</v>
      </c>
      <c r="D97" s="55" t="s">
        <v>27</v>
      </c>
      <c r="E97" s="24">
        <v>3.99</v>
      </c>
      <c r="F97" s="56"/>
      <c r="G97" s="14"/>
      <c r="H97" s="10"/>
      <c r="I97" s="48">
        <f>(E97+F97+G97)*16/100</f>
        <v>0.63840000000000008</v>
      </c>
      <c r="J97" s="49">
        <f t="shared" ref="J97:J102" si="41">30/100*(E97+F97+G97)</f>
        <v>1.1970000000000001</v>
      </c>
      <c r="K97" s="50">
        <f t="shared" si="28"/>
        <v>5.8254000000000001</v>
      </c>
      <c r="L97" s="51">
        <f t="shared" si="29"/>
        <v>8679846</v>
      </c>
      <c r="M97" s="58"/>
      <c r="N97" s="58"/>
      <c r="O97" s="51">
        <f t="shared" ref="O97:O102" si="42">L97-M97+N97</f>
        <v>8679846</v>
      </c>
      <c r="P97" s="53">
        <f t="shared" si="37"/>
        <v>724113.17999999993</v>
      </c>
      <c r="Q97" s="54"/>
      <c r="R97" s="53">
        <f t="shared" si="27"/>
        <v>724113.17999999993</v>
      </c>
      <c r="S97" s="53">
        <f t="shared" ref="S97:S100" si="43">O97-R97</f>
        <v>7955732.8200000003</v>
      </c>
      <c r="T97" s="41"/>
    </row>
    <row r="98" spans="1:20">
      <c r="A98" s="21">
        <v>23</v>
      </c>
      <c r="B98" s="39" t="s">
        <v>21</v>
      </c>
      <c r="C98" s="40" t="s">
        <v>42</v>
      </c>
      <c r="D98" s="55" t="s">
        <v>27</v>
      </c>
      <c r="E98" s="24">
        <v>3.99</v>
      </c>
      <c r="F98" s="56"/>
      <c r="G98" s="14"/>
      <c r="H98" s="24">
        <v>0.1</v>
      </c>
      <c r="I98" s="48">
        <f>(E98+F98+G98)*17/100</f>
        <v>0.67830000000000001</v>
      </c>
      <c r="J98" s="49">
        <f t="shared" si="41"/>
        <v>1.1970000000000001</v>
      </c>
      <c r="K98" s="50">
        <f t="shared" si="28"/>
        <v>5.9653</v>
      </c>
      <c r="L98" s="51">
        <f t="shared" si="29"/>
        <v>8888297</v>
      </c>
      <c r="M98" s="58"/>
      <c r="N98" s="58"/>
      <c r="O98" s="51">
        <f t="shared" si="42"/>
        <v>8888297</v>
      </c>
      <c r="P98" s="53">
        <f t="shared" si="37"/>
        <v>730355.53500000003</v>
      </c>
      <c r="Q98" s="54"/>
      <c r="R98" s="53">
        <f t="shared" si="27"/>
        <v>730355.53500000003</v>
      </c>
      <c r="S98" s="53">
        <f t="shared" si="43"/>
        <v>8157941.4649999999</v>
      </c>
      <c r="T98" s="41"/>
    </row>
    <row r="99" spans="1:20" ht="15.75">
      <c r="A99" s="21">
        <v>24</v>
      </c>
      <c r="B99" s="39" t="s">
        <v>21</v>
      </c>
      <c r="C99" s="26" t="s">
        <v>74</v>
      </c>
      <c r="D99" s="55" t="s">
        <v>27</v>
      </c>
      <c r="E99" s="24">
        <v>3.99</v>
      </c>
      <c r="F99" s="56"/>
      <c r="G99" s="14"/>
      <c r="H99" s="10"/>
      <c r="I99" s="66">
        <f>(E99+F99+G99)*15/100</f>
        <v>0.59850000000000003</v>
      </c>
      <c r="J99" s="67">
        <f t="shared" si="41"/>
        <v>1.1970000000000001</v>
      </c>
      <c r="K99" s="68">
        <f t="shared" si="28"/>
        <v>5.7854999999999999</v>
      </c>
      <c r="L99" s="69">
        <f t="shared" si="29"/>
        <v>8620395</v>
      </c>
      <c r="M99" s="70"/>
      <c r="N99" s="70"/>
      <c r="O99" s="69">
        <f t="shared" si="42"/>
        <v>8620395</v>
      </c>
      <c r="P99" s="71">
        <f t="shared" si="37"/>
        <v>717870.82499999995</v>
      </c>
      <c r="Q99" s="54"/>
      <c r="R99" s="71">
        <f t="shared" si="27"/>
        <v>717870.82499999995</v>
      </c>
      <c r="S99" s="71">
        <f t="shared" si="43"/>
        <v>7902524.1749999998</v>
      </c>
      <c r="T99" s="41"/>
    </row>
    <row r="100" spans="1:20" ht="15.75">
      <c r="A100" s="21">
        <v>25</v>
      </c>
      <c r="B100" s="72" t="s">
        <v>21</v>
      </c>
      <c r="C100" s="26" t="s">
        <v>43</v>
      </c>
      <c r="D100" s="55" t="s">
        <v>27</v>
      </c>
      <c r="E100" s="24">
        <v>3.99</v>
      </c>
      <c r="F100" s="56"/>
      <c r="G100" s="14"/>
      <c r="H100" s="10"/>
      <c r="I100" s="66">
        <f>(E100+F100+G100)*15/100</f>
        <v>0.59850000000000003</v>
      </c>
      <c r="J100" s="67">
        <f t="shared" si="41"/>
        <v>1.1970000000000001</v>
      </c>
      <c r="K100" s="68">
        <f t="shared" si="28"/>
        <v>5.7854999999999999</v>
      </c>
      <c r="L100" s="69">
        <f t="shared" si="29"/>
        <v>8620395</v>
      </c>
      <c r="M100" s="70"/>
      <c r="N100" s="70"/>
      <c r="O100" s="69">
        <f t="shared" si="42"/>
        <v>8620395</v>
      </c>
      <c r="P100" s="71">
        <f t="shared" si="37"/>
        <v>717870.82499999995</v>
      </c>
      <c r="Q100" s="54"/>
      <c r="R100" s="71">
        <f t="shared" si="27"/>
        <v>717870.82499999995</v>
      </c>
      <c r="S100" s="71">
        <f t="shared" si="43"/>
        <v>7902524.1749999998</v>
      </c>
      <c r="T100" s="41"/>
    </row>
    <row r="101" spans="1:20" ht="15.75">
      <c r="A101" s="21">
        <v>26</v>
      </c>
      <c r="B101" s="39" t="s">
        <v>21</v>
      </c>
      <c r="C101" s="26" t="s">
        <v>58</v>
      </c>
      <c r="D101" s="55" t="s">
        <v>27</v>
      </c>
      <c r="E101" s="24">
        <v>3.33</v>
      </c>
      <c r="F101" s="56"/>
      <c r="G101" s="14"/>
      <c r="H101" s="10"/>
      <c r="I101" s="48">
        <f>(E101+F101+G101)*11%</f>
        <v>0.36630000000000001</v>
      </c>
      <c r="J101" s="49">
        <f t="shared" si="41"/>
        <v>0.999</v>
      </c>
      <c r="K101" s="50">
        <f t="shared" si="28"/>
        <v>4.6952999999999996</v>
      </c>
      <c r="L101" s="51">
        <f t="shared" si="29"/>
        <v>6995996.9999999991</v>
      </c>
      <c r="M101" s="58"/>
      <c r="N101" s="58"/>
      <c r="O101" s="51">
        <f t="shared" si="42"/>
        <v>6995996.9999999991</v>
      </c>
      <c r="P101" s="53">
        <f t="shared" si="37"/>
        <v>578286.13500000001</v>
      </c>
      <c r="Q101" s="54"/>
      <c r="R101" s="53">
        <f t="shared" si="27"/>
        <v>578286.13500000001</v>
      </c>
      <c r="S101" s="53">
        <f>O101-R101</f>
        <v>6417710.8649999993</v>
      </c>
      <c r="T101" s="41"/>
    </row>
    <row r="102" spans="1:20" ht="15.75">
      <c r="A102" s="21">
        <v>27</v>
      </c>
      <c r="B102" s="39" t="s">
        <v>21</v>
      </c>
      <c r="C102" s="40" t="s">
        <v>44</v>
      </c>
      <c r="D102" s="55" t="s">
        <v>27</v>
      </c>
      <c r="E102" s="24">
        <v>3.99</v>
      </c>
      <c r="F102" s="56"/>
      <c r="G102" s="14"/>
      <c r="H102" s="10"/>
      <c r="I102" s="48">
        <f>(E102+F102+G102)*14/100</f>
        <v>0.55859999999999999</v>
      </c>
      <c r="J102" s="49">
        <f t="shared" si="41"/>
        <v>1.1970000000000001</v>
      </c>
      <c r="K102" s="50">
        <f t="shared" si="28"/>
        <v>5.7456000000000005</v>
      </c>
      <c r="L102" s="51">
        <f t="shared" si="29"/>
        <v>8560944</v>
      </c>
      <c r="M102" s="58"/>
      <c r="N102" s="58"/>
      <c r="O102" s="51">
        <f t="shared" si="42"/>
        <v>8560944</v>
      </c>
      <c r="P102" s="53">
        <f t="shared" si="37"/>
        <v>711628.47000000009</v>
      </c>
      <c r="Q102" s="54"/>
      <c r="R102" s="53">
        <f t="shared" si="27"/>
        <v>711628.47000000009</v>
      </c>
      <c r="S102" s="53">
        <f t="shared" ref="S102:S105" si="44">O102-R102</f>
        <v>7849315.5300000003</v>
      </c>
      <c r="T102" s="41"/>
    </row>
    <row r="103" spans="1:20" ht="15.75">
      <c r="A103" s="21">
        <v>28</v>
      </c>
      <c r="B103" s="39" t="s">
        <v>53</v>
      </c>
      <c r="C103" s="73" t="s">
        <v>75</v>
      </c>
      <c r="D103" s="55" t="s">
        <v>83</v>
      </c>
      <c r="E103" s="74">
        <v>3.46</v>
      </c>
      <c r="F103" s="56">
        <v>0.15</v>
      </c>
      <c r="G103" s="14"/>
      <c r="H103" s="10"/>
      <c r="I103" s="48"/>
      <c r="J103" s="49"/>
      <c r="K103" s="50">
        <f t="shared" si="28"/>
        <v>3.61</v>
      </c>
      <c r="L103" s="51">
        <f t="shared" si="29"/>
        <v>5378900</v>
      </c>
      <c r="M103" s="65">
        <f>L103</f>
        <v>5378900</v>
      </c>
      <c r="N103" s="75"/>
      <c r="O103" s="51">
        <f>L103-M103+N103</f>
        <v>0</v>
      </c>
      <c r="P103" s="53">
        <f t="shared" si="37"/>
        <v>0</v>
      </c>
      <c r="Q103" s="54"/>
      <c r="R103" s="53">
        <f t="shared" si="27"/>
        <v>0</v>
      </c>
      <c r="S103" s="76">
        <f t="shared" si="44"/>
        <v>0</v>
      </c>
      <c r="T103" s="41" t="s">
        <v>166</v>
      </c>
    </row>
    <row r="104" spans="1:20" ht="16.5">
      <c r="A104" s="21">
        <v>29</v>
      </c>
      <c r="B104" s="39" t="s">
        <v>89</v>
      </c>
      <c r="C104" s="42" t="s">
        <v>46</v>
      </c>
      <c r="D104" s="55" t="s">
        <v>27</v>
      </c>
      <c r="E104" s="24">
        <v>4</v>
      </c>
      <c r="F104" s="24"/>
      <c r="G104" s="14"/>
      <c r="H104" s="10"/>
      <c r="I104" s="48">
        <f>(E104+F104+G104)*13%</f>
        <v>0.52</v>
      </c>
      <c r="J104" s="49">
        <f t="shared" ref="J104:J105" si="45">30/100*(E104+F104+G104)</f>
        <v>1.2</v>
      </c>
      <c r="K104" s="50">
        <f t="shared" si="28"/>
        <v>5.72</v>
      </c>
      <c r="L104" s="51">
        <f t="shared" si="29"/>
        <v>8522800</v>
      </c>
      <c r="M104" s="58"/>
      <c r="N104" s="58"/>
      <c r="O104" s="51">
        <f t="shared" ref="O104:O112" si="46">L104-M104+N104</f>
        <v>8522800</v>
      </c>
      <c r="P104" s="53">
        <f t="shared" si="37"/>
        <v>707153.99999999988</v>
      </c>
      <c r="Q104" s="54"/>
      <c r="R104" s="53">
        <f t="shared" si="27"/>
        <v>707153.99999999988</v>
      </c>
      <c r="S104" s="76">
        <f t="shared" si="44"/>
        <v>7815646</v>
      </c>
      <c r="T104" s="41"/>
    </row>
    <row r="105" spans="1:20" ht="15.75">
      <c r="A105" s="21">
        <v>30</v>
      </c>
      <c r="B105" s="39" t="s">
        <v>21</v>
      </c>
      <c r="C105" s="40" t="s">
        <v>47</v>
      </c>
      <c r="D105" s="55" t="s">
        <v>27</v>
      </c>
      <c r="E105" s="24">
        <v>3.99</v>
      </c>
      <c r="F105" s="24"/>
      <c r="G105" s="14"/>
      <c r="H105" s="10"/>
      <c r="I105" s="48">
        <f>(E105+F105+G105)*15%</f>
        <v>0.59850000000000003</v>
      </c>
      <c r="J105" s="49">
        <f t="shared" si="45"/>
        <v>1.1970000000000001</v>
      </c>
      <c r="K105" s="50">
        <f t="shared" si="28"/>
        <v>5.7854999999999999</v>
      </c>
      <c r="L105" s="51">
        <f t="shared" si="29"/>
        <v>8620395</v>
      </c>
      <c r="M105" s="53"/>
      <c r="N105" s="58"/>
      <c r="O105" s="51">
        <f t="shared" si="46"/>
        <v>8620395</v>
      </c>
      <c r="P105" s="53">
        <f t="shared" si="37"/>
        <v>717870.82499999995</v>
      </c>
      <c r="Q105" s="54"/>
      <c r="R105" s="53">
        <f t="shared" si="27"/>
        <v>717870.82499999995</v>
      </c>
      <c r="S105" s="76">
        <f t="shared" si="44"/>
        <v>7902524.1749999998</v>
      </c>
      <c r="T105" s="41"/>
    </row>
    <row r="106" spans="1:20" ht="15.75">
      <c r="A106" s="21">
        <v>31</v>
      </c>
      <c r="B106" s="39" t="s">
        <v>21</v>
      </c>
      <c r="C106" s="40" t="s">
        <v>48</v>
      </c>
      <c r="D106" s="55" t="s">
        <v>27</v>
      </c>
      <c r="E106" s="24">
        <v>3.66</v>
      </c>
      <c r="F106" s="24"/>
      <c r="G106" s="14"/>
      <c r="H106" s="10"/>
      <c r="I106" s="48">
        <f>(E106+F106+G106)*13%</f>
        <v>0.47580000000000006</v>
      </c>
      <c r="J106" s="49">
        <f>30/100*(E106+F106+G106)</f>
        <v>1.0980000000000001</v>
      </c>
      <c r="K106" s="50">
        <f t="shared" si="28"/>
        <v>5.2338000000000005</v>
      </c>
      <c r="L106" s="51">
        <f t="shared" si="29"/>
        <v>7798362.0000000009</v>
      </c>
      <c r="M106" s="53"/>
      <c r="N106" s="58"/>
      <c r="O106" s="51">
        <f t="shared" si="46"/>
        <v>7798362.0000000009</v>
      </c>
      <c r="P106" s="53">
        <f t="shared" si="37"/>
        <v>647045.91</v>
      </c>
      <c r="Q106" s="54"/>
      <c r="R106" s="53">
        <f t="shared" si="27"/>
        <v>647045.91</v>
      </c>
      <c r="S106" s="76">
        <f>O106-R106</f>
        <v>7151316.0900000008</v>
      </c>
      <c r="T106" s="41"/>
    </row>
    <row r="107" spans="1:20" ht="15.75">
      <c r="A107" s="21">
        <v>32</v>
      </c>
      <c r="B107" s="39" t="s">
        <v>21</v>
      </c>
      <c r="C107" s="40" t="s">
        <v>92</v>
      </c>
      <c r="D107" s="55" t="s">
        <v>27</v>
      </c>
      <c r="E107" s="24">
        <v>3.33</v>
      </c>
      <c r="F107" s="24"/>
      <c r="G107" s="14"/>
      <c r="H107" s="10"/>
      <c r="I107" s="48">
        <f>(E107+F107+G107)*10%</f>
        <v>0.33300000000000002</v>
      </c>
      <c r="J107" s="49">
        <f>30/100*(E107+F107+G107)</f>
        <v>0.999</v>
      </c>
      <c r="K107" s="50">
        <f>E107+F107+G107+H107+I107+J107</f>
        <v>4.6619999999999999</v>
      </c>
      <c r="L107" s="51">
        <f t="shared" si="29"/>
        <v>6946380</v>
      </c>
      <c r="M107" s="53"/>
      <c r="N107" s="53"/>
      <c r="O107" s="51">
        <f t="shared" si="46"/>
        <v>6946380</v>
      </c>
      <c r="P107" s="53">
        <f>((E107+F107+G107+I107)*1490000)*10.5%</f>
        <v>573076.35</v>
      </c>
      <c r="Q107" s="54"/>
      <c r="R107" s="53">
        <f t="shared" si="27"/>
        <v>573076.35</v>
      </c>
      <c r="S107" s="76">
        <f t="shared" ref="S107:S108" si="47">O107-R107</f>
        <v>6373303.6500000004</v>
      </c>
      <c r="T107" s="41"/>
    </row>
    <row r="108" spans="1:20" ht="15.75">
      <c r="A108" s="21">
        <v>33</v>
      </c>
      <c r="B108" s="39" t="s">
        <v>21</v>
      </c>
      <c r="C108" s="40" t="s">
        <v>93</v>
      </c>
      <c r="D108" s="55" t="s">
        <v>27</v>
      </c>
      <c r="E108" s="24">
        <v>3.66</v>
      </c>
      <c r="F108" s="24"/>
      <c r="G108" s="14"/>
      <c r="H108" s="10"/>
      <c r="I108" s="48">
        <f>(E108+F108+G108)*11%</f>
        <v>0.40260000000000001</v>
      </c>
      <c r="J108" s="49">
        <f>30/100*(E108+F108+G108)</f>
        <v>1.0980000000000001</v>
      </c>
      <c r="K108" s="50">
        <f>E108+F108+G108+H108+I108+J108</f>
        <v>5.1605999999999996</v>
      </c>
      <c r="L108" s="51">
        <f t="shared" si="29"/>
        <v>7689293.9999999991</v>
      </c>
      <c r="M108" s="53"/>
      <c r="N108" s="53"/>
      <c r="O108" s="51">
        <f t="shared" si="46"/>
        <v>7689293.9999999991</v>
      </c>
      <c r="P108" s="53">
        <f>((E108+F108+G108+I108)*1490000)*10.5%</f>
        <v>635593.77</v>
      </c>
      <c r="Q108" s="54"/>
      <c r="R108" s="53">
        <f t="shared" si="27"/>
        <v>635593.77</v>
      </c>
      <c r="S108" s="76">
        <f t="shared" si="47"/>
        <v>7053700.2299999986</v>
      </c>
      <c r="T108" s="41"/>
    </row>
    <row r="109" spans="1:20" ht="16.5">
      <c r="A109" s="21">
        <v>34</v>
      </c>
      <c r="B109" s="39" t="s">
        <v>94</v>
      </c>
      <c r="C109" s="42" t="s">
        <v>95</v>
      </c>
      <c r="D109" s="77" t="s">
        <v>27</v>
      </c>
      <c r="E109" s="24">
        <v>3</v>
      </c>
      <c r="F109" s="24"/>
      <c r="G109" s="14"/>
      <c r="H109" s="11"/>
      <c r="I109" s="48"/>
      <c r="J109" s="49">
        <f>30/100*(E109+F109+G109)</f>
        <v>0.89999999999999991</v>
      </c>
      <c r="K109" s="50">
        <f>E109+F109+G109+H109+I109+J109</f>
        <v>3.9</v>
      </c>
      <c r="L109" s="51">
        <f>K109*1490000</f>
        <v>5811000</v>
      </c>
      <c r="M109" s="65"/>
      <c r="N109" s="65"/>
      <c r="O109" s="51">
        <f t="shared" si="46"/>
        <v>5811000</v>
      </c>
      <c r="P109" s="53">
        <f t="shared" ref="P109:P110" si="48">((E109+F109+G109+I109)*1490000-M109)*10.5%</f>
        <v>469350</v>
      </c>
      <c r="Q109" s="54"/>
      <c r="R109" s="53">
        <f t="shared" si="27"/>
        <v>469350</v>
      </c>
      <c r="S109" s="76">
        <f>O109-R109-N109</f>
        <v>5341650</v>
      </c>
      <c r="T109" s="41"/>
    </row>
    <row r="110" spans="1:20">
      <c r="A110" s="21">
        <v>35</v>
      </c>
      <c r="B110" s="39" t="s">
        <v>23</v>
      </c>
      <c r="C110" s="40" t="s">
        <v>49</v>
      </c>
      <c r="D110" s="55" t="s">
        <v>45</v>
      </c>
      <c r="E110" s="24">
        <v>3.34</v>
      </c>
      <c r="F110" s="24"/>
      <c r="G110" s="14"/>
      <c r="H110" s="24">
        <v>0.2</v>
      </c>
      <c r="I110" s="48"/>
      <c r="J110" s="49"/>
      <c r="K110" s="50">
        <f t="shared" ref="K110" si="49">E110+F110+G110+H110+I110+J110</f>
        <v>3.54</v>
      </c>
      <c r="L110" s="51">
        <f t="shared" ref="L110" si="50">K110*1490000</f>
        <v>5274600</v>
      </c>
      <c r="M110" s="53"/>
      <c r="N110" s="58"/>
      <c r="O110" s="51">
        <f t="shared" si="46"/>
        <v>5274600</v>
      </c>
      <c r="P110" s="53">
        <f t="shared" si="48"/>
        <v>522543</v>
      </c>
      <c r="Q110" s="54"/>
      <c r="R110" s="53">
        <f t="shared" si="27"/>
        <v>522543</v>
      </c>
      <c r="S110" s="76">
        <f>O110-R110</f>
        <v>4752057</v>
      </c>
      <c r="T110" s="41"/>
    </row>
    <row r="111" spans="1:20">
      <c r="A111" s="21">
        <v>36</v>
      </c>
      <c r="B111" s="39" t="s">
        <v>52</v>
      </c>
      <c r="C111" s="40" t="s">
        <v>50</v>
      </c>
      <c r="D111" s="77" t="s">
        <v>45</v>
      </c>
      <c r="E111" s="24">
        <v>2.86</v>
      </c>
      <c r="F111" s="24"/>
      <c r="G111" s="14"/>
      <c r="H111" s="24">
        <v>0.2</v>
      </c>
      <c r="I111" s="48"/>
      <c r="J111" s="49"/>
      <c r="K111" s="50">
        <f>E111+F111+G111+H111+I111+J111</f>
        <v>3.06</v>
      </c>
      <c r="L111" s="51">
        <f>K111*1490000</f>
        <v>4559400</v>
      </c>
      <c r="M111" s="53"/>
      <c r="N111" s="51"/>
      <c r="O111" s="51">
        <f t="shared" si="46"/>
        <v>4559400</v>
      </c>
      <c r="P111" s="53">
        <f>((E111+F111+G111+I111)*1490000)*10.5%</f>
        <v>447447</v>
      </c>
      <c r="Q111" s="53"/>
      <c r="R111" s="53">
        <f t="shared" si="27"/>
        <v>447447</v>
      </c>
      <c r="S111" s="76">
        <f>O111-R111</f>
        <v>4111953</v>
      </c>
      <c r="T111" s="41"/>
    </row>
    <row r="112" spans="1:20" ht="15.75">
      <c r="A112" s="21">
        <v>37</v>
      </c>
      <c r="B112" s="39" t="s">
        <v>54</v>
      </c>
      <c r="C112" s="40" t="s">
        <v>51</v>
      </c>
      <c r="D112" s="77" t="s">
        <v>96</v>
      </c>
      <c r="E112" s="24"/>
      <c r="F112" s="24"/>
      <c r="G112" s="14"/>
      <c r="H112" s="11"/>
      <c r="I112" s="48"/>
      <c r="J112" s="49"/>
      <c r="K112" s="50"/>
      <c r="L112" s="51">
        <v>3920000</v>
      </c>
      <c r="M112" s="53"/>
      <c r="N112" s="58"/>
      <c r="O112" s="51">
        <f t="shared" si="46"/>
        <v>3920000</v>
      </c>
      <c r="P112" s="53">
        <f>O112*10.5%</f>
        <v>411600</v>
      </c>
      <c r="Q112" s="53"/>
      <c r="R112" s="53">
        <f t="shared" si="27"/>
        <v>411600</v>
      </c>
      <c r="S112" s="76">
        <f>O112-R112</f>
        <v>3508400</v>
      </c>
      <c r="T112" s="2"/>
    </row>
    <row r="113" spans="1:20" ht="15.75">
      <c r="A113" s="2"/>
      <c r="B113" s="2"/>
      <c r="C113" s="3" t="s">
        <v>14</v>
      </c>
      <c r="D113" s="5"/>
      <c r="E113" s="27">
        <f t="shared" ref="E113" si="51">SUM(E76:E112)</f>
        <v>149.36999999999995</v>
      </c>
      <c r="F113" s="78">
        <f>SUM(F76:F112)</f>
        <v>2.1999999999999997</v>
      </c>
      <c r="G113" s="27">
        <f>SUM(G76:G112)</f>
        <v>0.84660000000000002</v>
      </c>
      <c r="H113" s="78">
        <f>SUM(H76:H112)</f>
        <v>0.60000000000000009</v>
      </c>
      <c r="I113" s="27">
        <f>SUM(I76:I112)</f>
        <v>25.557158000000001</v>
      </c>
      <c r="J113" s="27">
        <f t="shared" ref="J113" si="52">SUM(J76:J112)</f>
        <v>41.440980000000003</v>
      </c>
      <c r="K113" s="27">
        <f>SUM(K76:K112)</f>
        <v>220.01473800000008</v>
      </c>
      <c r="L113" s="28">
        <f t="shared" ref="L113:O113" si="53">SUM(L76:L112)</f>
        <v>331741959.62</v>
      </c>
      <c r="M113" s="75">
        <f t="shared" si="53"/>
        <v>5378900</v>
      </c>
      <c r="N113" s="75">
        <f t="shared" si="53"/>
        <v>0</v>
      </c>
      <c r="O113" s="28">
        <f t="shared" si="53"/>
        <v>326363059.62</v>
      </c>
      <c r="P113" s="28">
        <f>SUM(P76:P112)</f>
        <v>27690809.939100001</v>
      </c>
      <c r="Q113" s="28">
        <f>SUM(Q76:Q112)</f>
        <v>0</v>
      </c>
      <c r="R113" s="28">
        <f t="shared" ref="R113" si="54">SUM(R76:R112)</f>
        <v>27690809.939100001</v>
      </c>
      <c r="S113" s="32">
        <f>SUM(S76:S112)</f>
        <v>298672249.6809001</v>
      </c>
      <c r="T113" s="2"/>
    </row>
    <row r="114" spans="1:20">
      <c r="E114" s="9"/>
      <c r="F114" s="9"/>
      <c r="G114" s="9"/>
      <c r="H114" s="9"/>
      <c r="I114" s="19"/>
      <c r="J114" s="17"/>
    </row>
    <row r="115" spans="1:20">
      <c r="A115" s="1" t="s">
        <v>100</v>
      </c>
      <c r="D115" s="237" t="s">
        <v>165</v>
      </c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1:20" ht="15.75">
      <c r="A116" s="6"/>
      <c r="E116" s="9"/>
      <c r="F116" s="9"/>
      <c r="G116" s="9"/>
      <c r="H116" s="9"/>
      <c r="I116" s="19"/>
      <c r="J116" s="17"/>
      <c r="S116" s="15"/>
    </row>
    <row r="117" spans="1:20">
      <c r="A117" s="7"/>
      <c r="B117" s="7"/>
      <c r="C117" s="7"/>
      <c r="D117" s="211"/>
      <c r="E117" s="212"/>
      <c r="F117" s="212"/>
      <c r="G117" s="37"/>
      <c r="H117" s="37"/>
      <c r="I117" s="19"/>
      <c r="J117" s="17"/>
      <c r="N117" s="43"/>
      <c r="O117" s="43"/>
      <c r="P117" s="213" t="s">
        <v>163</v>
      </c>
      <c r="Q117" s="213"/>
      <c r="R117" s="213"/>
      <c r="S117" s="213"/>
    </row>
    <row r="118" spans="1:20">
      <c r="A118" s="214" t="s">
        <v>77</v>
      </c>
      <c r="B118" s="214"/>
      <c r="C118" s="214"/>
      <c r="D118" s="214"/>
      <c r="E118" s="214"/>
      <c r="F118" s="9"/>
      <c r="G118" s="44"/>
      <c r="H118" s="44"/>
      <c r="I118" s="19"/>
      <c r="J118" s="214" t="s">
        <v>79</v>
      </c>
      <c r="K118" s="214"/>
      <c r="L118" s="214"/>
      <c r="M118" s="214"/>
      <c r="P118" s="215" t="s">
        <v>65</v>
      </c>
      <c r="Q118" s="215"/>
      <c r="R118" s="215"/>
      <c r="S118" s="215"/>
    </row>
    <row r="119" spans="1:20">
      <c r="A119" s="216" t="s">
        <v>78</v>
      </c>
      <c r="B119" s="216"/>
      <c r="C119" s="216"/>
      <c r="D119" s="216"/>
      <c r="E119" s="9"/>
      <c r="F119" s="9"/>
      <c r="G119" s="9"/>
      <c r="H119" s="9"/>
      <c r="I119" s="19"/>
      <c r="J119" s="216" t="s">
        <v>80</v>
      </c>
      <c r="K119" s="216"/>
      <c r="L119" s="216"/>
      <c r="P119" s="217" t="s">
        <v>66</v>
      </c>
      <c r="Q119" s="217"/>
      <c r="R119" s="217"/>
      <c r="S119" s="217"/>
    </row>
    <row r="120" spans="1:20">
      <c r="E120" s="9"/>
      <c r="F120" s="9"/>
      <c r="G120" s="9"/>
      <c r="H120" s="9"/>
      <c r="I120" s="19"/>
      <c r="J120" s="17"/>
    </row>
    <row r="121" spans="1:20">
      <c r="C121" s="79"/>
      <c r="E121" s="9"/>
      <c r="F121" s="9"/>
      <c r="G121" s="9"/>
      <c r="H121" s="9"/>
      <c r="I121" s="19"/>
      <c r="J121" s="17"/>
    </row>
    <row r="122" spans="1:20">
      <c r="E122" s="9"/>
      <c r="F122" s="9"/>
      <c r="G122" s="9"/>
      <c r="H122" s="9"/>
      <c r="I122" s="19"/>
      <c r="J122" s="17"/>
      <c r="L122" s="12"/>
      <c r="P122" s="16"/>
    </row>
    <row r="123" spans="1:20">
      <c r="E123" s="9"/>
      <c r="F123" s="9"/>
      <c r="G123" s="9"/>
      <c r="H123" s="9"/>
      <c r="I123" s="19"/>
      <c r="J123" s="17"/>
    </row>
    <row r="124" spans="1:20" ht="15.75">
      <c r="B124" s="209" t="s">
        <v>97</v>
      </c>
      <c r="C124" s="209"/>
      <c r="D124" s="209"/>
      <c r="E124" s="9"/>
      <c r="F124" s="9"/>
      <c r="G124" s="9"/>
      <c r="H124" s="9"/>
      <c r="I124" s="19"/>
      <c r="J124" s="209" t="s">
        <v>59</v>
      </c>
      <c r="K124" s="209"/>
      <c r="L124" s="209"/>
      <c r="M124" s="209"/>
      <c r="P124" s="209" t="s">
        <v>81</v>
      </c>
      <c r="Q124" s="209"/>
      <c r="R124" s="209"/>
      <c r="S124" s="209"/>
    </row>
    <row r="139" spans="1:20" ht="15.75">
      <c r="A139" s="227" t="s">
        <v>55</v>
      </c>
      <c r="B139" s="227"/>
      <c r="C139" s="227"/>
      <c r="D139" s="227"/>
      <c r="E139" s="227"/>
      <c r="F139" s="227"/>
      <c r="G139" s="227"/>
      <c r="H139" s="227"/>
      <c r="I139" s="19"/>
      <c r="J139" s="17"/>
      <c r="Q139" s="228" t="s">
        <v>164</v>
      </c>
      <c r="R139" s="228"/>
      <c r="S139" s="228"/>
    </row>
    <row r="140" spans="1:20">
      <c r="A140" s="229" t="s">
        <v>67</v>
      </c>
      <c r="B140" s="229"/>
      <c r="C140" s="229"/>
      <c r="D140" s="229"/>
      <c r="E140" s="229"/>
      <c r="F140" s="229"/>
      <c r="G140" s="229"/>
      <c r="H140" s="9"/>
      <c r="I140" s="19"/>
      <c r="J140" s="17"/>
      <c r="R140" s="230" t="s">
        <v>68</v>
      </c>
      <c r="S140" s="230"/>
    </row>
    <row r="141" spans="1:20" ht="15.75">
      <c r="A141" s="227" t="s">
        <v>56</v>
      </c>
      <c r="B141" s="227"/>
      <c r="C141" s="227"/>
      <c r="D141" s="227"/>
      <c r="E141" s="227"/>
      <c r="F141" s="227"/>
      <c r="G141" s="227"/>
      <c r="H141" s="9"/>
      <c r="I141" s="19"/>
      <c r="J141" s="17"/>
      <c r="R141" s="29" t="s">
        <v>63</v>
      </c>
    </row>
    <row r="142" spans="1:20" ht="20.25">
      <c r="A142" s="231" t="s">
        <v>76</v>
      </c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</row>
    <row r="143" spans="1:20" ht="18.75">
      <c r="A143" s="232" t="s">
        <v>159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</row>
    <row r="144" spans="1:20">
      <c r="A144" s="225" t="s">
        <v>0</v>
      </c>
      <c r="B144" s="226" t="s">
        <v>1</v>
      </c>
      <c r="C144" s="226" t="s">
        <v>2</v>
      </c>
      <c r="D144" s="226" t="s">
        <v>3</v>
      </c>
      <c r="E144" s="226" t="s">
        <v>20</v>
      </c>
      <c r="F144" s="226"/>
      <c r="G144" s="226"/>
      <c r="H144" s="226"/>
      <c r="I144" s="226"/>
      <c r="J144" s="226"/>
      <c r="K144" s="226"/>
      <c r="L144" s="226"/>
      <c r="M144" s="233" t="s">
        <v>9</v>
      </c>
      <c r="N144" s="233" t="s">
        <v>11</v>
      </c>
      <c r="O144" s="226" t="s">
        <v>12</v>
      </c>
      <c r="P144" s="234" t="s">
        <v>13</v>
      </c>
      <c r="Q144" s="235"/>
      <c r="R144" s="236"/>
      <c r="S144" s="226" t="s">
        <v>15</v>
      </c>
      <c r="T144" s="218" t="s">
        <v>57</v>
      </c>
    </row>
    <row r="145" spans="1:22">
      <c r="A145" s="225"/>
      <c r="B145" s="226"/>
      <c r="C145" s="226"/>
      <c r="D145" s="226"/>
      <c r="E145" s="221" t="s">
        <v>4</v>
      </c>
      <c r="F145" s="222" t="s">
        <v>5</v>
      </c>
      <c r="G145" s="223" t="s">
        <v>6</v>
      </c>
      <c r="H145" s="223"/>
      <c r="I145" s="223"/>
      <c r="J145" s="223"/>
      <c r="K145" s="224" t="s">
        <v>7</v>
      </c>
      <c r="L145" s="224" t="s">
        <v>8</v>
      </c>
      <c r="M145" s="233"/>
      <c r="N145" s="233"/>
      <c r="O145" s="226"/>
      <c r="P145" s="225" t="s">
        <v>10</v>
      </c>
      <c r="Q145" s="226" t="s">
        <v>85</v>
      </c>
      <c r="R145" s="225" t="s">
        <v>14</v>
      </c>
      <c r="S145" s="226"/>
      <c r="T145" s="219"/>
    </row>
    <row r="146" spans="1:22" ht="63">
      <c r="A146" s="225"/>
      <c r="B146" s="226"/>
      <c r="C146" s="226"/>
      <c r="D146" s="226"/>
      <c r="E146" s="221"/>
      <c r="F146" s="222"/>
      <c r="G146" s="80" t="s">
        <v>26</v>
      </c>
      <c r="H146" s="80" t="s">
        <v>86</v>
      </c>
      <c r="I146" s="20" t="s">
        <v>24</v>
      </c>
      <c r="J146" s="18" t="s">
        <v>25</v>
      </c>
      <c r="K146" s="224"/>
      <c r="L146" s="224"/>
      <c r="M146" s="233"/>
      <c r="N146" s="233"/>
      <c r="O146" s="226"/>
      <c r="P146" s="225"/>
      <c r="Q146" s="226"/>
      <c r="R146" s="225"/>
      <c r="S146" s="226"/>
      <c r="T146" s="220"/>
    </row>
    <row r="147" spans="1:22">
      <c r="A147" s="4" t="s">
        <v>16</v>
      </c>
      <c r="B147" s="4" t="s">
        <v>17</v>
      </c>
      <c r="C147" s="4" t="s">
        <v>18</v>
      </c>
      <c r="D147" s="4" t="s">
        <v>19</v>
      </c>
      <c r="E147" s="13">
        <v>1</v>
      </c>
      <c r="F147" s="13">
        <v>2</v>
      </c>
      <c r="G147" s="13">
        <v>3</v>
      </c>
      <c r="H147" s="13">
        <v>4</v>
      </c>
      <c r="I147" s="13">
        <v>5</v>
      </c>
      <c r="J147" s="23">
        <v>6</v>
      </c>
      <c r="K147" s="4">
        <v>7</v>
      </c>
      <c r="L147" s="4">
        <v>8</v>
      </c>
      <c r="M147" s="4">
        <v>9</v>
      </c>
      <c r="N147" s="4">
        <v>10</v>
      </c>
      <c r="O147" s="30" t="s">
        <v>87</v>
      </c>
      <c r="P147" s="30">
        <v>12</v>
      </c>
      <c r="Q147" s="30">
        <v>13</v>
      </c>
      <c r="R147" s="30">
        <v>14</v>
      </c>
      <c r="S147" s="30" t="s">
        <v>88</v>
      </c>
      <c r="T147" s="2"/>
      <c r="V147" s="8">
        <f>S148-'M09'!F13</f>
        <v>98416.094999998808</v>
      </c>
    </row>
    <row r="148" spans="1:22" ht="16.5">
      <c r="A148" s="21">
        <v>1</v>
      </c>
      <c r="B148" s="39" t="s">
        <v>89</v>
      </c>
      <c r="C148" s="42" t="s">
        <v>60</v>
      </c>
      <c r="D148" s="46" t="s">
        <v>61</v>
      </c>
      <c r="E148" s="47">
        <v>5.0199999999999996</v>
      </c>
      <c r="F148" s="47">
        <v>0.35</v>
      </c>
      <c r="G148" s="25"/>
      <c r="H148" s="22"/>
      <c r="I148" s="48">
        <f>(E148+F148+G148)*23/100</f>
        <v>1.2350999999999999</v>
      </c>
      <c r="J148" s="49">
        <f>30/100*(E148+F148+G148)</f>
        <v>1.6109999999999998</v>
      </c>
      <c r="K148" s="50">
        <f>E148+F148+G148+H148+I148+J148</f>
        <v>8.2160999999999991</v>
      </c>
      <c r="L148" s="51">
        <f>K148*1490000</f>
        <v>12241988.999999998</v>
      </c>
      <c r="M148" s="52"/>
      <c r="N148" s="52"/>
      <c r="O148" s="51">
        <f>L148-M148+N148</f>
        <v>12241988.999999998</v>
      </c>
      <c r="P148" s="53">
        <f>((E148+F148+G148+I148)*1490000-M148)*9.5%</f>
        <v>934951.9049999998</v>
      </c>
      <c r="Q148" s="54"/>
      <c r="R148" s="53">
        <f>P148+Q148</f>
        <v>934951.9049999998</v>
      </c>
      <c r="S148" s="53">
        <f>O148-R148</f>
        <v>11307037.094999999</v>
      </c>
      <c r="T148" s="41"/>
    </row>
    <row r="149" spans="1:22" ht="15.75">
      <c r="A149" s="21">
        <v>2</v>
      </c>
      <c r="B149" s="39" t="s">
        <v>21</v>
      </c>
      <c r="C149" s="40" t="s">
        <v>28</v>
      </c>
      <c r="D149" s="55" t="s">
        <v>27</v>
      </c>
      <c r="E149" s="24">
        <v>4.9800000000000004</v>
      </c>
      <c r="F149" s="56"/>
      <c r="G149" s="57">
        <f>E149*6%</f>
        <v>0.29880000000000001</v>
      </c>
      <c r="H149" s="10"/>
      <c r="I149" s="48">
        <f>(E149+F149+G149)*25/100</f>
        <v>1.3197000000000001</v>
      </c>
      <c r="J149" s="49">
        <f>30/100*(E149+F149+G149)</f>
        <v>1.5836400000000002</v>
      </c>
      <c r="K149" s="50">
        <f>E149+F149+G149+H149+I149+J149</f>
        <v>8.1821400000000004</v>
      </c>
      <c r="L149" s="51">
        <f>K149*1490000</f>
        <v>12191388.600000001</v>
      </c>
      <c r="M149" s="58"/>
      <c r="N149" s="58"/>
      <c r="O149" s="51">
        <f>L149-M149+N149</f>
        <v>12191388.600000001</v>
      </c>
      <c r="P149" s="53">
        <f>((E149+F149+G149+I149)*1490000-M149)*10.5%</f>
        <v>1032335.325</v>
      </c>
      <c r="Q149" s="54"/>
      <c r="R149" s="53">
        <f t="shared" ref="R149:R184" si="55">P149+Q149</f>
        <v>1032335.325</v>
      </c>
      <c r="S149" s="53">
        <f t="shared" ref="S149" si="56">O149-R149</f>
        <v>11159053.275000002</v>
      </c>
      <c r="T149" s="59">
        <v>0.06</v>
      </c>
    </row>
    <row r="150" spans="1:22" ht="16.5">
      <c r="A150" s="21">
        <v>3</v>
      </c>
      <c r="B150" s="39" t="s">
        <v>22</v>
      </c>
      <c r="C150" s="40" t="s">
        <v>30</v>
      </c>
      <c r="D150" s="55" t="s">
        <v>90</v>
      </c>
      <c r="E150" s="24">
        <v>4.8899999999999997</v>
      </c>
      <c r="F150" s="47">
        <v>0.15</v>
      </c>
      <c r="G150" s="57"/>
      <c r="H150" s="10"/>
      <c r="I150" s="48">
        <f>(E150+F150+G150)*31/100</f>
        <v>1.5624</v>
      </c>
      <c r="J150" s="49">
        <f>30/100*(E150+F150+G150)</f>
        <v>1.512</v>
      </c>
      <c r="K150" s="50">
        <f t="shared" ref="K150:K178" si="57">E150+F150+G150+H150+I150+J150</f>
        <v>8.1143999999999998</v>
      </c>
      <c r="L150" s="51">
        <f t="shared" ref="L150:L180" si="58">K150*1490000</f>
        <v>12090456</v>
      </c>
      <c r="M150" s="58"/>
      <c r="N150" s="58"/>
      <c r="O150" s="51">
        <f t="shared" ref="O150:O167" si="59">L150-M150+N150</f>
        <v>12090456</v>
      </c>
      <c r="P150" s="53">
        <f t="shared" ref="P150:P157" si="60">((E150+F150+G150+I150)*1490000-M150)*10.5%</f>
        <v>1032945.48</v>
      </c>
      <c r="Q150" s="54"/>
      <c r="R150" s="53">
        <f t="shared" si="55"/>
        <v>1032945.48</v>
      </c>
      <c r="S150" s="53">
        <f>O150-R150</f>
        <v>11057510.52</v>
      </c>
      <c r="T150" s="2"/>
    </row>
    <row r="151" spans="1:22" ht="15.75">
      <c r="A151" s="21">
        <v>4</v>
      </c>
      <c r="B151" s="39" t="s">
        <v>21</v>
      </c>
      <c r="C151" s="40" t="s">
        <v>32</v>
      </c>
      <c r="D151" s="55" t="s">
        <v>29</v>
      </c>
      <c r="E151" s="24">
        <v>4.9800000000000004</v>
      </c>
      <c r="F151" s="47">
        <v>0.2</v>
      </c>
      <c r="G151" s="57">
        <f>E151*5%</f>
        <v>0.24900000000000003</v>
      </c>
      <c r="H151" s="10"/>
      <c r="I151" s="48">
        <f>(E151+F151+G151)*23%</f>
        <v>1.2486700000000002</v>
      </c>
      <c r="J151" s="49">
        <f t="shared" ref="J151" si="61">30/100*(E151+F151+G151)</f>
        <v>1.6287</v>
      </c>
      <c r="K151" s="50">
        <f t="shared" si="57"/>
        <v>8.3063700000000011</v>
      </c>
      <c r="L151" s="51">
        <f t="shared" si="58"/>
        <v>12376491.300000003</v>
      </c>
      <c r="M151" s="58"/>
      <c r="N151" s="58"/>
      <c r="O151" s="51">
        <f t="shared" si="59"/>
        <v>12376491.300000003</v>
      </c>
      <c r="P151" s="53">
        <f t="shared" si="60"/>
        <v>1044721.4715</v>
      </c>
      <c r="Q151" s="54"/>
      <c r="R151" s="53">
        <f t="shared" si="55"/>
        <v>1044721.4715</v>
      </c>
      <c r="S151" s="53">
        <f t="shared" ref="S151:S153" si="62">O151-R151</f>
        <v>11331769.828500003</v>
      </c>
      <c r="T151" s="59">
        <v>0.05</v>
      </c>
    </row>
    <row r="152" spans="1:22" ht="15.75">
      <c r="A152" s="21">
        <v>5</v>
      </c>
      <c r="B152" s="39" t="s">
        <v>21</v>
      </c>
      <c r="C152" s="40" t="s">
        <v>82</v>
      </c>
      <c r="D152" s="55" t="s">
        <v>29</v>
      </c>
      <c r="E152" s="24">
        <v>4.9800000000000004</v>
      </c>
      <c r="F152" s="47">
        <v>0.2</v>
      </c>
      <c r="G152" s="57">
        <f>E152*6%</f>
        <v>0.29880000000000001</v>
      </c>
      <c r="H152" s="10"/>
      <c r="I152" s="48">
        <f>(E152+F152+G152)*26%</f>
        <v>1.4244880000000002</v>
      </c>
      <c r="J152" s="49">
        <f>30/100*(E152+F152+G152)</f>
        <v>1.6436400000000002</v>
      </c>
      <c r="K152" s="50">
        <f t="shared" si="57"/>
        <v>8.5469280000000012</v>
      </c>
      <c r="L152" s="51">
        <f t="shared" si="58"/>
        <v>12734922.720000003</v>
      </c>
      <c r="M152" s="58"/>
      <c r="N152" s="58"/>
      <c r="O152" s="51">
        <f t="shared" si="59"/>
        <v>12734922.720000003</v>
      </c>
      <c r="P152" s="53">
        <f t="shared" si="60"/>
        <v>1080019.4076</v>
      </c>
      <c r="Q152" s="54"/>
      <c r="R152" s="53">
        <f t="shared" si="55"/>
        <v>1080019.4076</v>
      </c>
      <c r="S152" s="53">
        <f t="shared" si="62"/>
        <v>11654903.312400002</v>
      </c>
      <c r="T152" s="59">
        <v>0.06</v>
      </c>
    </row>
    <row r="153" spans="1:22" ht="15.75">
      <c r="A153" s="21">
        <v>6</v>
      </c>
      <c r="B153" s="39" t="s">
        <v>21</v>
      </c>
      <c r="C153" s="40" t="s">
        <v>84</v>
      </c>
      <c r="D153" s="55" t="s">
        <v>62</v>
      </c>
      <c r="E153" s="24">
        <v>4.6500000000000004</v>
      </c>
      <c r="F153" s="47">
        <v>0.25</v>
      </c>
      <c r="G153" s="14"/>
      <c r="H153" s="10"/>
      <c r="I153" s="48">
        <f>(E153+F153+G153)*21%</f>
        <v>1.0290000000000001</v>
      </c>
      <c r="J153" s="49">
        <f t="shared" ref="J153" si="63">30/100*(E153+F153+G153)</f>
        <v>1.47</v>
      </c>
      <c r="K153" s="50">
        <f t="shared" si="57"/>
        <v>7.399</v>
      </c>
      <c r="L153" s="51">
        <f t="shared" si="58"/>
        <v>11024510</v>
      </c>
      <c r="M153" s="58"/>
      <c r="N153" s="58"/>
      <c r="O153" s="51">
        <f t="shared" si="59"/>
        <v>11024510</v>
      </c>
      <c r="P153" s="53">
        <f t="shared" si="60"/>
        <v>927592.04999999993</v>
      </c>
      <c r="Q153" s="54"/>
      <c r="R153" s="53">
        <f t="shared" si="55"/>
        <v>927592.04999999993</v>
      </c>
      <c r="S153" s="53">
        <f t="shared" si="62"/>
        <v>10096917.949999999</v>
      </c>
      <c r="T153" s="41"/>
    </row>
    <row r="154" spans="1:22" ht="16.5">
      <c r="A154" s="21">
        <v>7</v>
      </c>
      <c r="B154" s="39" t="s">
        <v>22</v>
      </c>
      <c r="C154" s="42" t="s">
        <v>31</v>
      </c>
      <c r="D154" s="55" t="s">
        <v>27</v>
      </c>
      <c r="E154" s="24">
        <v>4.8899999999999997</v>
      </c>
      <c r="F154" s="47"/>
      <c r="G154" s="57"/>
      <c r="H154" s="10"/>
      <c r="I154" s="48">
        <f>(E154+F154+G154)*26/100</f>
        <v>1.2713999999999999</v>
      </c>
      <c r="J154" s="49">
        <f>30/100*(E154+F154+G154)</f>
        <v>1.4669999999999999</v>
      </c>
      <c r="K154" s="50">
        <f t="shared" si="57"/>
        <v>7.6283999999999992</v>
      </c>
      <c r="L154" s="51">
        <f t="shared" si="58"/>
        <v>11366315.999999998</v>
      </c>
      <c r="M154" s="58"/>
      <c r="N154" s="58"/>
      <c r="O154" s="51">
        <f t="shared" si="59"/>
        <v>11366315.999999998</v>
      </c>
      <c r="P154" s="53">
        <f t="shared" si="60"/>
        <v>963951.02999999991</v>
      </c>
      <c r="Q154" s="54"/>
      <c r="R154" s="53">
        <f t="shared" si="55"/>
        <v>963951.02999999991</v>
      </c>
      <c r="S154" s="53">
        <f>O154-R154</f>
        <v>10402364.969999999</v>
      </c>
      <c r="T154" s="41"/>
    </row>
    <row r="155" spans="1:22" ht="15.75">
      <c r="A155" s="21">
        <v>8</v>
      </c>
      <c r="B155" s="39" t="s">
        <v>21</v>
      </c>
      <c r="C155" s="26" t="s">
        <v>70</v>
      </c>
      <c r="D155" s="55" t="s">
        <v>27</v>
      </c>
      <c r="E155" s="24">
        <v>4.6500000000000004</v>
      </c>
      <c r="F155" s="47"/>
      <c r="G155" s="14"/>
      <c r="H155" s="10"/>
      <c r="I155" s="48">
        <f>(E155+F155+G155)*22/100</f>
        <v>1.0230000000000001</v>
      </c>
      <c r="J155" s="49">
        <f t="shared" ref="J155:J157" si="64">30/100*(E155+F155+G155)</f>
        <v>1.395</v>
      </c>
      <c r="K155" s="50">
        <f t="shared" si="57"/>
        <v>7.0679999999999996</v>
      </c>
      <c r="L155" s="51">
        <f t="shared" si="58"/>
        <v>10531320</v>
      </c>
      <c r="M155" s="58"/>
      <c r="N155" s="58"/>
      <c r="O155" s="51">
        <f t="shared" si="59"/>
        <v>10531320</v>
      </c>
      <c r="P155" s="53">
        <f t="shared" si="60"/>
        <v>887540.85</v>
      </c>
      <c r="Q155" s="54"/>
      <c r="R155" s="53">
        <f t="shared" si="55"/>
        <v>887540.85</v>
      </c>
      <c r="S155" s="53">
        <f t="shared" ref="S155:S158" si="65">O155-R155</f>
        <v>9643779.1500000004</v>
      </c>
      <c r="T155" s="41"/>
    </row>
    <row r="156" spans="1:22" ht="15.75">
      <c r="A156" s="21">
        <v>9</v>
      </c>
      <c r="B156" s="39" t="s">
        <v>21</v>
      </c>
      <c r="C156" s="26" t="s">
        <v>33</v>
      </c>
      <c r="D156" s="55" t="s">
        <v>29</v>
      </c>
      <c r="E156" s="24">
        <v>4.6500000000000004</v>
      </c>
      <c r="F156" s="47">
        <v>0.2</v>
      </c>
      <c r="G156" s="14"/>
      <c r="H156" s="10"/>
      <c r="I156" s="48">
        <f>(E156+F156+G156)*21/100</f>
        <v>1.0185000000000002</v>
      </c>
      <c r="J156" s="49">
        <f t="shared" si="64"/>
        <v>1.4550000000000001</v>
      </c>
      <c r="K156" s="50">
        <f t="shared" si="57"/>
        <v>7.323500000000001</v>
      </c>
      <c r="L156" s="51">
        <f t="shared" si="58"/>
        <v>10912015.000000002</v>
      </c>
      <c r="M156" s="58"/>
      <c r="N156" s="58"/>
      <c r="O156" s="51">
        <f t="shared" si="59"/>
        <v>10912015.000000002</v>
      </c>
      <c r="P156" s="53">
        <f t="shared" si="60"/>
        <v>918126.82500000019</v>
      </c>
      <c r="Q156" s="54"/>
      <c r="R156" s="53">
        <f t="shared" si="55"/>
        <v>918126.82500000019</v>
      </c>
      <c r="S156" s="53">
        <f t="shared" si="65"/>
        <v>9993888.1750000007</v>
      </c>
      <c r="T156" s="41"/>
    </row>
    <row r="157" spans="1:22" ht="15.75">
      <c r="A157" s="21">
        <v>10</v>
      </c>
      <c r="B157" s="39" t="s">
        <v>21</v>
      </c>
      <c r="C157" s="26" t="s">
        <v>34</v>
      </c>
      <c r="D157" s="55" t="s">
        <v>27</v>
      </c>
      <c r="E157" s="24">
        <v>4.32</v>
      </c>
      <c r="F157" s="47"/>
      <c r="G157" s="14"/>
      <c r="H157" s="10"/>
      <c r="I157" s="48">
        <f>(E157+F157+G157)*18/100</f>
        <v>0.77760000000000007</v>
      </c>
      <c r="J157" s="49">
        <f t="shared" si="64"/>
        <v>1.296</v>
      </c>
      <c r="K157" s="50">
        <f t="shared" si="57"/>
        <v>6.3936000000000002</v>
      </c>
      <c r="L157" s="51">
        <f t="shared" si="58"/>
        <v>9526464</v>
      </c>
      <c r="M157" s="58"/>
      <c r="N157" s="58"/>
      <c r="O157" s="51">
        <f t="shared" si="59"/>
        <v>9526464</v>
      </c>
      <c r="P157" s="53">
        <f t="shared" si="60"/>
        <v>797519.52</v>
      </c>
      <c r="Q157" s="54"/>
      <c r="R157" s="53">
        <f t="shared" si="55"/>
        <v>797519.52</v>
      </c>
      <c r="S157" s="53">
        <f t="shared" si="65"/>
        <v>8728944.4800000004</v>
      </c>
      <c r="T157" s="41"/>
    </row>
    <row r="158" spans="1:22">
      <c r="A158" s="21">
        <v>11</v>
      </c>
      <c r="B158" s="39" t="s">
        <v>21</v>
      </c>
      <c r="C158" s="42" t="s">
        <v>36</v>
      </c>
      <c r="D158" s="55" t="s">
        <v>29</v>
      </c>
      <c r="E158" s="24">
        <v>4.32</v>
      </c>
      <c r="F158" s="47">
        <v>0.2</v>
      </c>
      <c r="G158" s="33"/>
      <c r="H158" s="35"/>
      <c r="I158" s="48">
        <f>(E158+F158+G158)*19%</f>
        <v>0.85880000000000012</v>
      </c>
      <c r="J158" s="49">
        <f>30/100*(E158+F158+G158)</f>
        <v>1.3560000000000001</v>
      </c>
      <c r="K158" s="50">
        <f t="shared" si="57"/>
        <v>6.7348000000000008</v>
      </c>
      <c r="L158" s="51">
        <f t="shared" si="58"/>
        <v>10034852.000000002</v>
      </c>
      <c r="M158" s="58"/>
      <c r="N158" s="58"/>
      <c r="O158" s="51">
        <f t="shared" si="59"/>
        <v>10034852.000000002</v>
      </c>
      <c r="P158" s="53">
        <f>((E158+F158+G158+I158)*1490000-M158)*10.5%</f>
        <v>841513.26</v>
      </c>
      <c r="Q158" s="54"/>
      <c r="R158" s="53">
        <f t="shared" si="55"/>
        <v>841513.26</v>
      </c>
      <c r="S158" s="53">
        <f t="shared" si="65"/>
        <v>9193338.7400000021</v>
      </c>
      <c r="T158" s="2"/>
    </row>
    <row r="159" spans="1:22">
      <c r="A159" s="21">
        <v>12</v>
      </c>
      <c r="B159" s="39" t="s">
        <v>64</v>
      </c>
      <c r="C159" s="26" t="s">
        <v>59</v>
      </c>
      <c r="D159" s="55" t="s">
        <v>35</v>
      </c>
      <c r="E159" s="24">
        <v>4.2699999999999996</v>
      </c>
      <c r="F159" s="47">
        <v>0.2</v>
      </c>
      <c r="G159" s="33"/>
      <c r="H159" s="34">
        <v>0.1</v>
      </c>
      <c r="I159" s="48"/>
      <c r="J159" s="49"/>
      <c r="K159" s="50">
        <f t="shared" si="57"/>
        <v>4.5699999999999994</v>
      </c>
      <c r="L159" s="51">
        <f t="shared" si="58"/>
        <v>6809299.9999999991</v>
      </c>
      <c r="M159" s="58"/>
      <c r="N159" s="58"/>
      <c r="O159" s="51">
        <f t="shared" si="59"/>
        <v>6809299.9999999991</v>
      </c>
      <c r="P159" s="53">
        <f>((E159+F159+G159+I159)*1490000-M159)*10.5%</f>
        <v>699331.5</v>
      </c>
      <c r="Q159" s="54"/>
      <c r="R159" s="53">
        <f t="shared" si="55"/>
        <v>699331.5</v>
      </c>
      <c r="S159" s="53">
        <f>O159-R159</f>
        <v>6109968.4999999991</v>
      </c>
      <c r="T159" s="2"/>
    </row>
    <row r="160" spans="1:22">
      <c r="A160" s="21">
        <v>13</v>
      </c>
      <c r="B160" s="39" t="s">
        <v>21</v>
      </c>
      <c r="C160" s="40" t="s">
        <v>69</v>
      </c>
      <c r="D160" s="55" t="s">
        <v>27</v>
      </c>
      <c r="E160" s="24">
        <v>4.32</v>
      </c>
      <c r="F160" s="47"/>
      <c r="G160" s="33"/>
      <c r="H160" s="35"/>
      <c r="I160" s="48">
        <f>(E160+F160+G160)*19/100</f>
        <v>0.82080000000000009</v>
      </c>
      <c r="J160" s="49">
        <f>30/100*(E160+F160+G160)</f>
        <v>1.296</v>
      </c>
      <c r="K160" s="50">
        <f t="shared" si="57"/>
        <v>6.4368000000000007</v>
      </c>
      <c r="L160" s="51">
        <f t="shared" si="58"/>
        <v>9590832.0000000019</v>
      </c>
      <c r="M160" s="58"/>
      <c r="N160" s="58"/>
      <c r="O160" s="51">
        <f t="shared" si="59"/>
        <v>9590832.0000000019</v>
      </c>
      <c r="P160" s="53">
        <f t="shared" ref="P160:P178" si="66">((E160+F160+G160+I160)*1490000-M160)*10.5%</f>
        <v>804278.16</v>
      </c>
      <c r="Q160" s="54"/>
      <c r="R160" s="53">
        <f t="shared" si="55"/>
        <v>804278.16</v>
      </c>
      <c r="S160" s="53">
        <f t="shared" ref="S160:S167" si="67">O160-R160</f>
        <v>8786553.8400000017</v>
      </c>
      <c r="T160" s="2"/>
    </row>
    <row r="161" spans="1:20">
      <c r="A161" s="21">
        <v>14</v>
      </c>
      <c r="B161" s="39" t="s">
        <v>21</v>
      </c>
      <c r="C161" s="40" t="s">
        <v>37</v>
      </c>
      <c r="D161" s="55" t="s">
        <v>27</v>
      </c>
      <c r="E161" s="24">
        <v>4.32</v>
      </c>
      <c r="F161" s="24"/>
      <c r="G161" s="33"/>
      <c r="H161" s="35"/>
      <c r="I161" s="48">
        <f>(E161+F161+G161)*19/100</f>
        <v>0.82080000000000009</v>
      </c>
      <c r="J161" s="49">
        <f>30/100*(E161+F161+G161)</f>
        <v>1.296</v>
      </c>
      <c r="K161" s="50">
        <f t="shared" si="57"/>
        <v>6.4368000000000007</v>
      </c>
      <c r="L161" s="51">
        <f t="shared" si="58"/>
        <v>9590832.0000000019</v>
      </c>
      <c r="M161" s="58"/>
      <c r="N161" s="58"/>
      <c r="O161" s="51">
        <f t="shared" si="59"/>
        <v>9590832.0000000019</v>
      </c>
      <c r="P161" s="53">
        <f t="shared" si="66"/>
        <v>804278.16</v>
      </c>
      <c r="Q161" s="54"/>
      <c r="R161" s="53">
        <f t="shared" si="55"/>
        <v>804278.16</v>
      </c>
      <c r="S161" s="53">
        <f t="shared" si="67"/>
        <v>8786553.8400000017</v>
      </c>
      <c r="T161" s="2"/>
    </row>
    <row r="162" spans="1:20">
      <c r="A162" s="21">
        <v>15</v>
      </c>
      <c r="B162" s="39" t="s">
        <v>21</v>
      </c>
      <c r="C162" s="40" t="s">
        <v>71</v>
      </c>
      <c r="D162" s="55" t="s">
        <v>27</v>
      </c>
      <c r="E162" s="24">
        <v>4.32</v>
      </c>
      <c r="F162" s="24"/>
      <c r="G162" s="33"/>
      <c r="H162" s="35"/>
      <c r="I162" s="48">
        <f>(E162+F162+G162)*19/100</f>
        <v>0.82080000000000009</v>
      </c>
      <c r="J162" s="49">
        <f t="shared" ref="J162:J164" si="68">30/100*(E162+F162+G162)</f>
        <v>1.296</v>
      </c>
      <c r="K162" s="50">
        <f t="shared" si="57"/>
        <v>6.4368000000000007</v>
      </c>
      <c r="L162" s="51">
        <f t="shared" si="58"/>
        <v>9590832.0000000019</v>
      </c>
      <c r="M162" s="58"/>
      <c r="N162" s="58"/>
      <c r="O162" s="51">
        <f t="shared" si="59"/>
        <v>9590832.0000000019</v>
      </c>
      <c r="P162" s="53">
        <f t="shared" si="66"/>
        <v>804278.16</v>
      </c>
      <c r="Q162" s="54"/>
      <c r="R162" s="53">
        <f t="shared" si="55"/>
        <v>804278.16</v>
      </c>
      <c r="S162" s="53">
        <f t="shared" si="67"/>
        <v>8786553.8400000017</v>
      </c>
      <c r="T162" s="41"/>
    </row>
    <row r="163" spans="1:20">
      <c r="A163" s="21">
        <v>16</v>
      </c>
      <c r="B163" s="39" t="s">
        <v>21</v>
      </c>
      <c r="C163" s="40" t="s">
        <v>38</v>
      </c>
      <c r="D163" s="55" t="s">
        <v>27</v>
      </c>
      <c r="E163" s="24">
        <v>4.32</v>
      </c>
      <c r="F163" s="24"/>
      <c r="G163" s="33"/>
      <c r="H163" s="35"/>
      <c r="I163" s="48">
        <f>(E163+F163+G163)*17%</f>
        <v>0.73440000000000005</v>
      </c>
      <c r="J163" s="49">
        <f t="shared" si="68"/>
        <v>1.296</v>
      </c>
      <c r="K163" s="50">
        <f t="shared" si="57"/>
        <v>6.3504000000000005</v>
      </c>
      <c r="L163" s="51">
        <f t="shared" si="58"/>
        <v>9462096</v>
      </c>
      <c r="M163" s="58"/>
      <c r="N163" s="58"/>
      <c r="O163" s="51">
        <f t="shared" si="59"/>
        <v>9462096</v>
      </c>
      <c r="P163" s="53">
        <f t="shared" si="66"/>
        <v>790760.88</v>
      </c>
      <c r="Q163" s="54"/>
      <c r="R163" s="53">
        <f t="shared" si="55"/>
        <v>790760.88</v>
      </c>
      <c r="S163" s="53">
        <f t="shared" si="67"/>
        <v>8671335.1199999992</v>
      </c>
      <c r="T163" s="41"/>
    </row>
    <row r="164" spans="1:20">
      <c r="A164" s="21">
        <v>17</v>
      </c>
      <c r="B164" s="39" t="s">
        <v>21</v>
      </c>
      <c r="C164" s="40" t="s">
        <v>72</v>
      </c>
      <c r="D164" s="55" t="s">
        <v>27</v>
      </c>
      <c r="E164" s="24">
        <v>4.32</v>
      </c>
      <c r="F164" s="24"/>
      <c r="G164" s="33"/>
      <c r="H164" s="35"/>
      <c r="I164" s="48">
        <f>(E164+F164+G164)*17%</f>
        <v>0.73440000000000005</v>
      </c>
      <c r="J164" s="49">
        <f t="shared" si="68"/>
        <v>1.296</v>
      </c>
      <c r="K164" s="50">
        <f t="shared" si="57"/>
        <v>6.3504000000000005</v>
      </c>
      <c r="L164" s="51">
        <f t="shared" si="58"/>
        <v>9462096</v>
      </c>
      <c r="M164" s="58"/>
      <c r="N164" s="58"/>
      <c r="O164" s="51">
        <f t="shared" si="59"/>
        <v>9462096</v>
      </c>
      <c r="P164" s="53">
        <f t="shared" si="66"/>
        <v>790760.88</v>
      </c>
      <c r="Q164" s="54"/>
      <c r="R164" s="53">
        <f t="shared" si="55"/>
        <v>790760.88</v>
      </c>
      <c r="S164" s="53">
        <f t="shared" si="67"/>
        <v>8671335.1199999992</v>
      </c>
      <c r="T164" s="41"/>
    </row>
    <row r="165" spans="1:20">
      <c r="A165" s="21">
        <v>18</v>
      </c>
      <c r="B165" s="39" t="s">
        <v>21</v>
      </c>
      <c r="C165" s="40" t="s">
        <v>91</v>
      </c>
      <c r="D165" s="55" t="s">
        <v>27</v>
      </c>
      <c r="E165" s="24">
        <v>4.32</v>
      </c>
      <c r="F165" s="24">
        <v>0.15</v>
      </c>
      <c r="G165" s="60"/>
      <c r="H165" s="35"/>
      <c r="I165" s="48">
        <f>(E165+F165+G165)*18%</f>
        <v>0.80460000000000009</v>
      </c>
      <c r="J165" s="49">
        <f>30/100*(E165+F165+G165)</f>
        <v>1.3410000000000002</v>
      </c>
      <c r="K165" s="61">
        <f t="shared" si="57"/>
        <v>6.6156000000000006</v>
      </c>
      <c r="L165" s="62">
        <f t="shared" si="58"/>
        <v>9857244</v>
      </c>
      <c r="M165" s="63"/>
      <c r="N165" s="63"/>
      <c r="O165" s="62">
        <f t="shared" si="59"/>
        <v>9857244</v>
      </c>
      <c r="P165" s="64">
        <f t="shared" si="66"/>
        <v>825211.17</v>
      </c>
      <c r="Q165" s="54"/>
      <c r="R165" s="64">
        <f t="shared" si="55"/>
        <v>825211.17</v>
      </c>
      <c r="S165" s="64">
        <f t="shared" si="67"/>
        <v>9032032.8300000001</v>
      </c>
      <c r="T165" s="41"/>
    </row>
    <row r="166" spans="1:20">
      <c r="A166" s="21">
        <v>19</v>
      </c>
      <c r="B166" s="39" t="s">
        <v>21</v>
      </c>
      <c r="C166" s="40" t="s">
        <v>39</v>
      </c>
      <c r="D166" s="55" t="s">
        <v>27</v>
      </c>
      <c r="E166" s="24">
        <v>4.32</v>
      </c>
      <c r="F166" s="24"/>
      <c r="G166" s="33"/>
      <c r="H166" s="36"/>
      <c r="I166" s="48">
        <f>(E166+F166+G166)*21%</f>
        <v>0.90720000000000001</v>
      </c>
      <c r="J166" s="49">
        <f>30/100*(E166+F166+G166)</f>
        <v>1.296</v>
      </c>
      <c r="K166" s="50">
        <f t="shared" si="57"/>
        <v>6.5232000000000001</v>
      </c>
      <c r="L166" s="51">
        <f t="shared" si="58"/>
        <v>9719568</v>
      </c>
      <c r="M166" s="58"/>
      <c r="N166" s="58"/>
      <c r="O166" s="51">
        <f t="shared" si="59"/>
        <v>9719568</v>
      </c>
      <c r="P166" s="53">
        <f t="shared" si="66"/>
        <v>817795.44</v>
      </c>
      <c r="Q166" s="54"/>
      <c r="R166" s="53">
        <f t="shared" si="55"/>
        <v>817795.44</v>
      </c>
      <c r="S166" s="53">
        <f t="shared" si="67"/>
        <v>8901772.5600000005</v>
      </c>
      <c r="T166" s="41"/>
    </row>
    <row r="167" spans="1:20" ht="16.5">
      <c r="A167" s="21">
        <v>20</v>
      </c>
      <c r="B167" s="39" t="s">
        <v>22</v>
      </c>
      <c r="C167" s="40" t="s">
        <v>40</v>
      </c>
      <c r="D167" s="55" t="s">
        <v>90</v>
      </c>
      <c r="E167" s="24">
        <v>3.96</v>
      </c>
      <c r="F167" s="24">
        <v>0.15</v>
      </c>
      <c r="G167" s="33"/>
      <c r="H167" s="36"/>
      <c r="I167" s="48">
        <f>(E167+F167+G167)*17/100</f>
        <v>0.6987000000000001</v>
      </c>
      <c r="J167" s="49">
        <f t="shared" ref="J167" si="69">30/100*(E167+F167+G167)</f>
        <v>1.2330000000000001</v>
      </c>
      <c r="K167" s="50">
        <f t="shared" si="57"/>
        <v>6.0417000000000005</v>
      </c>
      <c r="L167" s="51">
        <f t="shared" si="58"/>
        <v>9002133</v>
      </c>
      <c r="M167" s="58"/>
      <c r="N167" s="58"/>
      <c r="O167" s="51">
        <f t="shared" si="59"/>
        <v>9002133</v>
      </c>
      <c r="P167" s="53">
        <f t="shared" si="66"/>
        <v>752321.11499999999</v>
      </c>
      <c r="Q167" s="54"/>
      <c r="R167" s="53">
        <f t="shared" si="55"/>
        <v>752321.11499999999</v>
      </c>
      <c r="S167" s="53">
        <f t="shared" si="67"/>
        <v>8249811.8849999998</v>
      </c>
      <c r="T167" s="41"/>
    </row>
    <row r="168" spans="1:20" ht="15.75">
      <c r="A168" s="21">
        <v>21</v>
      </c>
      <c r="B168" s="39" t="s">
        <v>21</v>
      </c>
      <c r="C168" s="40" t="s">
        <v>73</v>
      </c>
      <c r="D168" s="55" t="s">
        <v>27</v>
      </c>
      <c r="E168" s="24">
        <v>3.99</v>
      </c>
      <c r="F168" s="24"/>
      <c r="G168" s="14"/>
      <c r="H168" s="10"/>
      <c r="I168" s="48">
        <f>(E168+F168+G168)*17%</f>
        <v>0.67830000000000013</v>
      </c>
      <c r="J168" s="49">
        <f>30/100*(E168+F168+G168)</f>
        <v>1.1970000000000001</v>
      </c>
      <c r="K168" s="50">
        <f t="shared" si="57"/>
        <v>5.8653000000000004</v>
      </c>
      <c r="L168" s="51">
        <f t="shared" si="58"/>
        <v>8739297</v>
      </c>
      <c r="M168" s="65"/>
      <c r="N168" s="65"/>
      <c r="O168" s="51">
        <f>L168-M168+N168</f>
        <v>8739297</v>
      </c>
      <c r="P168" s="53">
        <f t="shared" si="66"/>
        <v>730355.53500000003</v>
      </c>
      <c r="Q168" s="54"/>
      <c r="R168" s="53">
        <f t="shared" si="55"/>
        <v>730355.53500000003</v>
      </c>
      <c r="S168" s="53">
        <f>O168-R168-N168</f>
        <v>8008941.4649999999</v>
      </c>
      <c r="T168" s="41"/>
    </row>
    <row r="169" spans="1:20" ht="15.75">
      <c r="A169" s="21">
        <v>22</v>
      </c>
      <c r="B169" s="39" t="s">
        <v>21</v>
      </c>
      <c r="C169" s="40" t="s">
        <v>41</v>
      </c>
      <c r="D169" s="55" t="s">
        <v>27</v>
      </c>
      <c r="E169" s="24">
        <v>3.99</v>
      </c>
      <c r="F169" s="56"/>
      <c r="G169" s="14"/>
      <c r="H169" s="10"/>
      <c r="I169" s="48">
        <f>(E169+F169+G169)*16/100</f>
        <v>0.63840000000000008</v>
      </c>
      <c r="J169" s="49">
        <f t="shared" ref="J169:J174" si="70">30/100*(E169+F169+G169)</f>
        <v>1.1970000000000001</v>
      </c>
      <c r="K169" s="50">
        <f t="shared" si="57"/>
        <v>5.8254000000000001</v>
      </c>
      <c r="L169" s="51">
        <f t="shared" si="58"/>
        <v>8679846</v>
      </c>
      <c r="M169" s="58"/>
      <c r="N169" s="58"/>
      <c r="O169" s="51">
        <f t="shared" ref="O169:O174" si="71">L169-M169+N169</f>
        <v>8679846</v>
      </c>
      <c r="P169" s="53">
        <f t="shared" si="66"/>
        <v>724113.17999999993</v>
      </c>
      <c r="Q169" s="54"/>
      <c r="R169" s="53">
        <f t="shared" si="55"/>
        <v>724113.17999999993</v>
      </c>
      <c r="S169" s="53">
        <f t="shared" ref="S169:S172" si="72">O169-R169</f>
        <v>7955732.8200000003</v>
      </c>
      <c r="T169" s="41"/>
    </row>
    <row r="170" spans="1:20">
      <c r="A170" s="21">
        <v>23</v>
      </c>
      <c r="B170" s="39" t="s">
        <v>21</v>
      </c>
      <c r="C170" s="40" t="s">
        <v>42</v>
      </c>
      <c r="D170" s="55" t="s">
        <v>27</v>
      </c>
      <c r="E170" s="24">
        <v>3.99</v>
      </c>
      <c r="F170" s="56"/>
      <c r="G170" s="14"/>
      <c r="H170" s="24">
        <v>0.1</v>
      </c>
      <c r="I170" s="48">
        <f>(E170+F170+G170)*17/100</f>
        <v>0.67830000000000001</v>
      </c>
      <c r="J170" s="49">
        <f t="shared" si="70"/>
        <v>1.1970000000000001</v>
      </c>
      <c r="K170" s="50">
        <f t="shared" si="57"/>
        <v>5.9653</v>
      </c>
      <c r="L170" s="51">
        <f t="shared" si="58"/>
        <v>8888297</v>
      </c>
      <c r="M170" s="58"/>
      <c r="N170" s="58"/>
      <c r="O170" s="51">
        <f t="shared" si="71"/>
        <v>8888297</v>
      </c>
      <c r="P170" s="53">
        <f t="shared" si="66"/>
        <v>730355.53500000003</v>
      </c>
      <c r="Q170" s="54"/>
      <c r="R170" s="53">
        <f t="shared" si="55"/>
        <v>730355.53500000003</v>
      </c>
      <c r="S170" s="53">
        <f t="shared" si="72"/>
        <v>8157941.4649999999</v>
      </c>
      <c r="T170" s="41"/>
    </row>
    <row r="171" spans="1:20" ht="15.75">
      <c r="A171" s="21">
        <v>24</v>
      </c>
      <c r="B171" s="39" t="s">
        <v>21</v>
      </c>
      <c r="C171" s="26" t="s">
        <v>74</v>
      </c>
      <c r="D171" s="55" t="s">
        <v>27</v>
      </c>
      <c r="E171" s="24">
        <v>3.99</v>
      </c>
      <c r="F171" s="56"/>
      <c r="G171" s="14"/>
      <c r="H171" s="10"/>
      <c r="I171" s="66">
        <f>(E171+F171+G171)*15/100</f>
        <v>0.59850000000000003</v>
      </c>
      <c r="J171" s="67">
        <f t="shared" si="70"/>
        <v>1.1970000000000001</v>
      </c>
      <c r="K171" s="68">
        <f t="shared" si="57"/>
        <v>5.7854999999999999</v>
      </c>
      <c r="L171" s="69">
        <f t="shared" si="58"/>
        <v>8620395</v>
      </c>
      <c r="M171" s="70"/>
      <c r="N171" s="70"/>
      <c r="O171" s="69">
        <f t="shared" si="71"/>
        <v>8620395</v>
      </c>
      <c r="P171" s="71">
        <f t="shared" si="66"/>
        <v>717870.82499999995</v>
      </c>
      <c r="Q171" s="54"/>
      <c r="R171" s="71">
        <f t="shared" si="55"/>
        <v>717870.82499999995</v>
      </c>
      <c r="S171" s="71">
        <f t="shared" si="72"/>
        <v>7902524.1749999998</v>
      </c>
      <c r="T171" s="41"/>
    </row>
    <row r="172" spans="1:20" ht="15.75">
      <c r="A172" s="21">
        <v>25</v>
      </c>
      <c r="B172" s="72" t="s">
        <v>21</v>
      </c>
      <c r="C172" s="26" t="s">
        <v>43</v>
      </c>
      <c r="D172" s="55" t="s">
        <v>27</v>
      </c>
      <c r="E172" s="24">
        <v>3.99</v>
      </c>
      <c r="F172" s="56"/>
      <c r="G172" s="14"/>
      <c r="H172" s="10"/>
      <c r="I172" s="66">
        <f>(E172+F172+G172)*15/100</f>
        <v>0.59850000000000003</v>
      </c>
      <c r="J172" s="67">
        <f t="shared" si="70"/>
        <v>1.1970000000000001</v>
      </c>
      <c r="K172" s="68">
        <f t="shared" si="57"/>
        <v>5.7854999999999999</v>
      </c>
      <c r="L172" s="69">
        <f t="shared" si="58"/>
        <v>8620395</v>
      </c>
      <c r="M172" s="70"/>
      <c r="N172" s="70"/>
      <c r="O172" s="69">
        <f t="shared" si="71"/>
        <v>8620395</v>
      </c>
      <c r="P172" s="71">
        <f t="shared" si="66"/>
        <v>717870.82499999995</v>
      </c>
      <c r="Q172" s="54"/>
      <c r="R172" s="71">
        <f t="shared" si="55"/>
        <v>717870.82499999995</v>
      </c>
      <c r="S172" s="71">
        <f t="shared" si="72"/>
        <v>7902524.1749999998</v>
      </c>
      <c r="T172" s="41"/>
    </row>
    <row r="173" spans="1:20" ht="17.25" customHeight="1">
      <c r="A173" s="21">
        <v>26</v>
      </c>
      <c r="B173" s="39" t="s">
        <v>21</v>
      </c>
      <c r="C173" s="26" t="s">
        <v>58</v>
      </c>
      <c r="D173" s="55" t="s">
        <v>27</v>
      </c>
      <c r="E173" s="24">
        <v>3.33</v>
      </c>
      <c r="F173" s="56"/>
      <c r="G173" s="14"/>
      <c r="H173" s="10"/>
      <c r="I173" s="48">
        <f>(E173+F173+G173)*11%</f>
        <v>0.36630000000000001</v>
      </c>
      <c r="J173" s="49">
        <f t="shared" si="70"/>
        <v>0.999</v>
      </c>
      <c r="K173" s="50">
        <f t="shared" si="57"/>
        <v>4.6952999999999996</v>
      </c>
      <c r="L173" s="51">
        <f t="shared" si="58"/>
        <v>6995996.9999999991</v>
      </c>
      <c r="M173" s="58"/>
      <c r="N173" s="58"/>
      <c r="O173" s="51">
        <f t="shared" si="71"/>
        <v>6995996.9999999991</v>
      </c>
      <c r="P173" s="53">
        <f t="shared" si="66"/>
        <v>578286.13500000001</v>
      </c>
      <c r="Q173" s="54"/>
      <c r="R173" s="53">
        <f t="shared" si="55"/>
        <v>578286.13500000001</v>
      </c>
      <c r="S173" s="53">
        <f>O173-R173</f>
        <v>6417710.8649999993</v>
      </c>
      <c r="T173" s="41"/>
    </row>
    <row r="174" spans="1:20" ht="15.75">
      <c r="A174" s="21">
        <v>27</v>
      </c>
      <c r="B174" s="39" t="s">
        <v>21</v>
      </c>
      <c r="C174" s="40" t="s">
        <v>44</v>
      </c>
      <c r="D174" s="55" t="s">
        <v>27</v>
      </c>
      <c r="E174" s="24">
        <v>3.99</v>
      </c>
      <c r="F174" s="56"/>
      <c r="G174" s="14"/>
      <c r="H174" s="10"/>
      <c r="I174" s="48">
        <f>(E174+F174+G174)*14/100</f>
        <v>0.55859999999999999</v>
      </c>
      <c r="J174" s="49">
        <f t="shared" si="70"/>
        <v>1.1970000000000001</v>
      </c>
      <c r="K174" s="50">
        <f t="shared" si="57"/>
        <v>5.7456000000000005</v>
      </c>
      <c r="L174" s="51">
        <f t="shared" si="58"/>
        <v>8560944</v>
      </c>
      <c r="M174" s="58"/>
      <c r="N174" s="58"/>
      <c r="O174" s="51">
        <f t="shared" si="71"/>
        <v>8560944</v>
      </c>
      <c r="P174" s="53">
        <f t="shared" si="66"/>
        <v>711628.47000000009</v>
      </c>
      <c r="Q174" s="54"/>
      <c r="R174" s="53">
        <f t="shared" si="55"/>
        <v>711628.47000000009</v>
      </c>
      <c r="S174" s="53">
        <f t="shared" ref="S174:S177" si="73">O174-R174</f>
        <v>7849315.5300000003</v>
      </c>
      <c r="T174" s="41"/>
    </row>
    <row r="175" spans="1:20" ht="15.75">
      <c r="A175" s="21">
        <v>28</v>
      </c>
      <c r="B175" s="39" t="s">
        <v>53</v>
      </c>
      <c r="C175" s="73" t="s">
        <v>75</v>
      </c>
      <c r="D175" s="55" t="s">
        <v>83</v>
      </c>
      <c r="E175" s="74">
        <v>3.46</v>
      </c>
      <c r="F175" s="56">
        <v>0.15</v>
      </c>
      <c r="G175" s="14"/>
      <c r="H175" s="10"/>
      <c r="I175" s="48"/>
      <c r="J175" s="49"/>
      <c r="K175" s="50">
        <f t="shared" si="57"/>
        <v>3.61</v>
      </c>
      <c r="L175" s="51">
        <f t="shared" si="58"/>
        <v>5378900</v>
      </c>
      <c r="M175" s="65">
        <f>L175</f>
        <v>5378900</v>
      </c>
      <c r="N175" s="75"/>
      <c r="O175" s="51">
        <f>L175-M175+N175</f>
        <v>0</v>
      </c>
      <c r="P175" s="53">
        <f t="shared" si="66"/>
        <v>0</v>
      </c>
      <c r="Q175" s="54"/>
      <c r="R175" s="53">
        <f t="shared" si="55"/>
        <v>0</v>
      </c>
      <c r="S175" s="76">
        <f t="shared" si="73"/>
        <v>0</v>
      </c>
      <c r="T175" s="41" t="s">
        <v>166</v>
      </c>
    </row>
    <row r="176" spans="1:20" ht="16.5">
      <c r="A176" s="21">
        <v>29</v>
      </c>
      <c r="B176" s="39" t="s">
        <v>89</v>
      </c>
      <c r="C176" s="42" t="s">
        <v>46</v>
      </c>
      <c r="D176" s="55" t="s">
        <v>27</v>
      </c>
      <c r="E176" s="24">
        <v>4</v>
      </c>
      <c r="F176" s="24"/>
      <c r="G176" s="14"/>
      <c r="H176" s="10"/>
      <c r="I176" s="48">
        <f>(E176+F176+G176)*13%</f>
        <v>0.52</v>
      </c>
      <c r="J176" s="49">
        <f t="shared" ref="J176:J177" si="74">30/100*(E176+F176+G176)</f>
        <v>1.2</v>
      </c>
      <c r="K176" s="50">
        <f t="shared" si="57"/>
        <v>5.72</v>
      </c>
      <c r="L176" s="51">
        <f t="shared" si="58"/>
        <v>8522800</v>
      </c>
      <c r="M176" s="58"/>
      <c r="N176" s="58"/>
      <c r="O176" s="51">
        <f t="shared" ref="O176:O184" si="75">L176-M176+N176</f>
        <v>8522800</v>
      </c>
      <c r="P176" s="53">
        <f t="shared" si="66"/>
        <v>707153.99999999988</v>
      </c>
      <c r="Q176" s="54"/>
      <c r="R176" s="53">
        <f t="shared" si="55"/>
        <v>707153.99999999988</v>
      </c>
      <c r="S176" s="76">
        <f t="shared" si="73"/>
        <v>7815646</v>
      </c>
      <c r="T176" s="41"/>
    </row>
    <row r="177" spans="1:20" ht="15.75">
      <c r="A177" s="21">
        <v>30</v>
      </c>
      <c r="B177" s="39" t="s">
        <v>21</v>
      </c>
      <c r="C177" s="40" t="s">
        <v>47</v>
      </c>
      <c r="D177" s="55" t="s">
        <v>27</v>
      </c>
      <c r="E177" s="24">
        <v>3.99</v>
      </c>
      <c r="F177" s="24"/>
      <c r="G177" s="14"/>
      <c r="H177" s="10"/>
      <c r="I177" s="48">
        <f>(E177+F177+G177)*15%</f>
        <v>0.59850000000000003</v>
      </c>
      <c r="J177" s="49">
        <f t="shared" si="74"/>
        <v>1.1970000000000001</v>
      </c>
      <c r="K177" s="50">
        <f t="shared" si="57"/>
        <v>5.7854999999999999</v>
      </c>
      <c r="L177" s="51">
        <f t="shared" si="58"/>
        <v>8620395</v>
      </c>
      <c r="M177" s="53"/>
      <c r="N177" s="58"/>
      <c r="O177" s="51">
        <f t="shared" si="75"/>
        <v>8620395</v>
      </c>
      <c r="P177" s="53">
        <f t="shared" si="66"/>
        <v>717870.82499999995</v>
      </c>
      <c r="Q177" s="54"/>
      <c r="R177" s="53">
        <f t="shared" si="55"/>
        <v>717870.82499999995</v>
      </c>
      <c r="S177" s="76">
        <f t="shared" si="73"/>
        <v>7902524.1749999998</v>
      </c>
      <c r="T177" s="41"/>
    </row>
    <row r="178" spans="1:20" ht="15.75">
      <c r="A178" s="21">
        <v>31</v>
      </c>
      <c r="B178" s="39" t="s">
        <v>21</v>
      </c>
      <c r="C178" s="40" t="s">
        <v>48</v>
      </c>
      <c r="D178" s="55" t="s">
        <v>27</v>
      </c>
      <c r="E178" s="24">
        <v>3.66</v>
      </c>
      <c r="F178" s="24"/>
      <c r="G178" s="14"/>
      <c r="H178" s="10"/>
      <c r="I178" s="48">
        <f>(E178+F178+G178)*13%</f>
        <v>0.47580000000000006</v>
      </c>
      <c r="J178" s="49">
        <f>30/100*(E178+F178+G178)</f>
        <v>1.0980000000000001</v>
      </c>
      <c r="K178" s="50">
        <f t="shared" si="57"/>
        <v>5.2338000000000005</v>
      </c>
      <c r="L178" s="51">
        <f t="shared" si="58"/>
        <v>7798362.0000000009</v>
      </c>
      <c r="M178" s="53"/>
      <c r="N178" s="58"/>
      <c r="O178" s="51">
        <f t="shared" si="75"/>
        <v>7798362.0000000009</v>
      </c>
      <c r="P178" s="53">
        <f t="shared" si="66"/>
        <v>647045.91</v>
      </c>
      <c r="Q178" s="54"/>
      <c r="R178" s="53">
        <f t="shared" si="55"/>
        <v>647045.91</v>
      </c>
      <c r="S178" s="76">
        <f>O178-R178</f>
        <v>7151316.0900000008</v>
      </c>
      <c r="T178" s="41"/>
    </row>
    <row r="179" spans="1:20" ht="15.75">
      <c r="A179" s="21">
        <v>32</v>
      </c>
      <c r="B179" s="39" t="s">
        <v>21</v>
      </c>
      <c r="C179" s="40" t="s">
        <v>92</v>
      </c>
      <c r="D179" s="55" t="s">
        <v>27</v>
      </c>
      <c r="E179" s="24">
        <v>3.33</v>
      </c>
      <c r="F179" s="24"/>
      <c r="G179" s="14"/>
      <c r="H179" s="10"/>
      <c r="I179" s="48">
        <f>(E179+F179+G179)*10%</f>
        <v>0.33300000000000002</v>
      </c>
      <c r="J179" s="49">
        <f>30/100*(E179+F179+G179)</f>
        <v>0.999</v>
      </c>
      <c r="K179" s="50">
        <f>E179+F179+G179+H179+I179+J179</f>
        <v>4.6619999999999999</v>
      </c>
      <c r="L179" s="51">
        <f t="shared" si="58"/>
        <v>6946380</v>
      </c>
      <c r="M179" s="53"/>
      <c r="N179" s="53"/>
      <c r="O179" s="51">
        <f t="shared" si="75"/>
        <v>6946380</v>
      </c>
      <c r="P179" s="53">
        <f>((E179+F179+G179+I179)*1490000)*10.5%</f>
        <v>573076.35</v>
      </c>
      <c r="Q179" s="54"/>
      <c r="R179" s="53">
        <f t="shared" si="55"/>
        <v>573076.35</v>
      </c>
      <c r="S179" s="76">
        <f t="shared" ref="S179:S180" si="76">O179-R179</f>
        <v>6373303.6500000004</v>
      </c>
      <c r="T179" s="41"/>
    </row>
    <row r="180" spans="1:20" ht="15.75">
      <c r="A180" s="21">
        <v>33</v>
      </c>
      <c r="B180" s="39" t="s">
        <v>21</v>
      </c>
      <c r="C180" s="40" t="s">
        <v>93</v>
      </c>
      <c r="D180" s="55" t="s">
        <v>27</v>
      </c>
      <c r="E180" s="24">
        <v>3.66</v>
      </c>
      <c r="F180" s="24"/>
      <c r="G180" s="14"/>
      <c r="H180" s="10"/>
      <c r="I180" s="48">
        <f>(E180+F180+G180)*11%</f>
        <v>0.40260000000000001</v>
      </c>
      <c r="J180" s="49">
        <f>30/100*(E180+F180+G180)</f>
        <v>1.0980000000000001</v>
      </c>
      <c r="K180" s="50">
        <f>E180+F180+G180+H180+I180+J180</f>
        <v>5.1605999999999996</v>
      </c>
      <c r="L180" s="51">
        <f t="shared" si="58"/>
        <v>7689293.9999999991</v>
      </c>
      <c r="M180" s="53"/>
      <c r="N180" s="53"/>
      <c r="O180" s="51">
        <f t="shared" si="75"/>
        <v>7689293.9999999991</v>
      </c>
      <c r="P180" s="53">
        <f>((E180+F180+G180+I180)*1490000)*10.5%</f>
        <v>635593.77</v>
      </c>
      <c r="Q180" s="54"/>
      <c r="R180" s="53">
        <f t="shared" si="55"/>
        <v>635593.77</v>
      </c>
      <c r="S180" s="76">
        <f t="shared" si="76"/>
        <v>7053700.2299999986</v>
      </c>
      <c r="T180" s="41"/>
    </row>
    <row r="181" spans="1:20" ht="16.5">
      <c r="A181" s="21">
        <v>34</v>
      </c>
      <c r="B181" s="39" t="s">
        <v>94</v>
      </c>
      <c r="C181" s="42" t="s">
        <v>95</v>
      </c>
      <c r="D181" s="77" t="s">
        <v>27</v>
      </c>
      <c r="E181" s="24">
        <v>3</v>
      </c>
      <c r="F181" s="24"/>
      <c r="G181" s="14"/>
      <c r="H181" s="11"/>
      <c r="I181" s="48"/>
      <c r="J181" s="49">
        <f>30/100*(E181+F181+G181)</f>
        <v>0.89999999999999991</v>
      </c>
      <c r="K181" s="50">
        <f>E181+F181+G181+H181+I181+J181</f>
        <v>3.9</v>
      </c>
      <c r="L181" s="51">
        <f>K181*1490000</f>
        <v>5811000</v>
      </c>
      <c r="M181" s="65"/>
      <c r="N181" s="65"/>
      <c r="O181" s="51">
        <f t="shared" si="75"/>
        <v>5811000</v>
      </c>
      <c r="P181" s="53">
        <f t="shared" ref="P181:P182" si="77">((E181+F181+G181+I181)*1490000-M181)*10.5%</f>
        <v>469350</v>
      </c>
      <c r="Q181" s="54"/>
      <c r="R181" s="53">
        <f t="shared" si="55"/>
        <v>469350</v>
      </c>
      <c r="S181" s="76">
        <f>O181-R181-N181</f>
        <v>5341650</v>
      </c>
      <c r="T181" s="41"/>
    </row>
    <row r="182" spans="1:20">
      <c r="A182" s="21">
        <v>35</v>
      </c>
      <c r="B182" s="39" t="s">
        <v>23</v>
      </c>
      <c r="C182" s="40" t="s">
        <v>49</v>
      </c>
      <c r="D182" s="55" t="s">
        <v>45</v>
      </c>
      <c r="E182" s="24">
        <v>3.34</v>
      </c>
      <c r="F182" s="24"/>
      <c r="G182" s="14"/>
      <c r="H182" s="24">
        <v>0.2</v>
      </c>
      <c r="I182" s="48"/>
      <c r="J182" s="49"/>
      <c r="K182" s="50">
        <f t="shared" ref="K182" si="78">E182+F182+G182+H182+I182+J182</f>
        <v>3.54</v>
      </c>
      <c r="L182" s="51">
        <f t="shared" ref="L182" si="79">K182*1490000</f>
        <v>5274600</v>
      </c>
      <c r="M182" s="53"/>
      <c r="N182" s="58"/>
      <c r="O182" s="51">
        <f t="shared" si="75"/>
        <v>5274600</v>
      </c>
      <c r="P182" s="53">
        <f t="shared" si="77"/>
        <v>522543</v>
      </c>
      <c r="Q182" s="54"/>
      <c r="R182" s="53">
        <f t="shared" si="55"/>
        <v>522543</v>
      </c>
      <c r="S182" s="76">
        <f>O182-R182</f>
        <v>4752057</v>
      </c>
      <c r="T182" s="41"/>
    </row>
    <row r="183" spans="1:20">
      <c r="A183" s="21">
        <v>36</v>
      </c>
      <c r="B183" s="39" t="s">
        <v>52</v>
      </c>
      <c r="C183" s="40" t="s">
        <v>50</v>
      </c>
      <c r="D183" s="77" t="s">
        <v>45</v>
      </c>
      <c r="E183" s="24">
        <v>2.86</v>
      </c>
      <c r="F183" s="24"/>
      <c r="G183" s="14"/>
      <c r="H183" s="24">
        <v>0.2</v>
      </c>
      <c r="I183" s="48"/>
      <c r="J183" s="49"/>
      <c r="K183" s="50">
        <f>E183+F183+G183+H183+I183+J183</f>
        <v>3.06</v>
      </c>
      <c r="L183" s="51">
        <f>K183*1490000</f>
        <v>4559400</v>
      </c>
      <c r="M183" s="53"/>
      <c r="N183" s="51"/>
      <c r="O183" s="51">
        <f t="shared" si="75"/>
        <v>4559400</v>
      </c>
      <c r="P183" s="53">
        <f>((E183+F183+G183+I183)*1490000)*10.5%</f>
        <v>447447</v>
      </c>
      <c r="Q183" s="53"/>
      <c r="R183" s="53">
        <f t="shared" si="55"/>
        <v>447447</v>
      </c>
      <c r="S183" s="76">
        <f>O183-R183</f>
        <v>4111953</v>
      </c>
      <c r="T183" s="41"/>
    </row>
    <row r="184" spans="1:20" ht="15.75">
      <c r="A184" s="21">
        <v>37</v>
      </c>
      <c r="B184" s="39" t="s">
        <v>54</v>
      </c>
      <c r="C184" s="40" t="s">
        <v>51</v>
      </c>
      <c r="D184" s="77" t="s">
        <v>96</v>
      </c>
      <c r="E184" s="24"/>
      <c r="F184" s="24"/>
      <c r="G184" s="14"/>
      <c r="H184" s="11"/>
      <c r="I184" s="48"/>
      <c r="J184" s="49"/>
      <c r="K184" s="50"/>
      <c r="L184" s="51">
        <v>3920000</v>
      </c>
      <c r="M184" s="53"/>
      <c r="N184" s="58"/>
      <c r="O184" s="51">
        <f t="shared" si="75"/>
        <v>3920000</v>
      </c>
      <c r="P184" s="53">
        <f>O184*10.5%</f>
        <v>411600</v>
      </c>
      <c r="Q184" s="53"/>
      <c r="R184" s="53">
        <f t="shared" si="55"/>
        <v>411600</v>
      </c>
      <c r="S184" s="76">
        <f>O184-R184</f>
        <v>3508400</v>
      </c>
      <c r="T184" s="2"/>
    </row>
    <row r="185" spans="1:20" ht="15.75">
      <c r="A185" s="2"/>
      <c r="B185" s="2"/>
      <c r="C185" s="3" t="s">
        <v>14</v>
      </c>
      <c r="D185" s="5"/>
      <c r="E185" s="27">
        <f t="shared" ref="E185" si="80">SUM(E148:E184)</f>
        <v>149.36999999999995</v>
      </c>
      <c r="F185" s="78">
        <f>SUM(F148:F184)</f>
        <v>2.1999999999999997</v>
      </c>
      <c r="G185" s="27">
        <f>SUM(G148:G184)</f>
        <v>0.84660000000000002</v>
      </c>
      <c r="H185" s="78">
        <f>SUM(H148:H184)</f>
        <v>0.60000000000000009</v>
      </c>
      <c r="I185" s="27">
        <f>SUM(I148:I184)</f>
        <v>25.557158000000001</v>
      </c>
      <c r="J185" s="27">
        <f t="shared" ref="J185" si="81">SUM(J148:J184)</f>
        <v>41.440980000000003</v>
      </c>
      <c r="K185" s="27">
        <f>SUM(K148:K184)</f>
        <v>220.01473800000008</v>
      </c>
      <c r="L185" s="28">
        <f t="shared" ref="L185:O185" si="82">SUM(L148:L184)</f>
        <v>331741959.62</v>
      </c>
      <c r="M185" s="75">
        <f t="shared" si="82"/>
        <v>5378900</v>
      </c>
      <c r="N185" s="75">
        <f t="shared" si="82"/>
        <v>0</v>
      </c>
      <c r="O185" s="28">
        <f t="shared" si="82"/>
        <v>326363059.62</v>
      </c>
      <c r="P185" s="28">
        <f>SUM(P148:P184)</f>
        <v>27592393.949099999</v>
      </c>
      <c r="Q185" s="28">
        <f>SUM(Q148:Q184)</f>
        <v>0</v>
      </c>
      <c r="R185" s="28">
        <f t="shared" ref="R185" si="83">SUM(R148:R184)</f>
        <v>27592393.949099999</v>
      </c>
      <c r="S185" s="32">
        <f>SUM(S148:S184)</f>
        <v>298770665.67090011</v>
      </c>
      <c r="T185" s="2"/>
    </row>
    <row r="186" spans="1:20">
      <c r="E186" s="9"/>
      <c r="F186" s="9"/>
      <c r="G186" s="9"/>
      <c r="H186" s="9"/>
      <c r="I186" s="19"/>
      <c r="J186" s="17"/>
    </row>
    <row r="187" spans="1:20">
      <c r="A187" s="1" t="s">
        <v>100</v>
      </c>
      <c r="D187" s="210" t="s">
        <v>162</v>
      </c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</row>
    <row r="188" spans="1:20" ht="15.75">
      <c r="A188" s="6"/>
      <c r="E188" s="9"/>
      <c r="F188" s="9"/>
      <c r="G188" s="9"/>
      <c r="H188" s="9"/>
      <c r="I188" s="19"/>
      <c r="J188" s="17"/>
      <c r="S188" s="15"/>
    </row>
    <row r="189" spans="1:20">
      <c r="A189" s="7"/>
      <c r="B189" s="7"/>
      <c r="C189" s="7"/>
      <c r="D189" s="211"/>
      <c r="E189" s="212"/>
      <c r="F189" s="212"/>
      <c r="G189" s="37"/>
      <c r="H189" s="37"/>
      <c r="I189" s="19"/>
      <c r="J189" s="17"/>
      <c r="N189" s="43"/>
      <c r="O189" s="43"/>
      <c r="P189" s="213" t="s">
        <v>161</v>
      </c>
      <c r="Q189" s="213"/>
      <c r="R189" s="213"/>
      <c r="S189" s="213"/>
    </row>
    <row r="190" spans="1:20">
      <c r="A190" s="214" t="s">
        <v>77</v>
      </c>
      <c r="B190" s="214"/>
      <c r="C190" s="214"/>
      <c r="D190" s="214"/>
      <c r="E190" s="214"/>
      <c r="F190" s="9"/>
      <c r="G190" s="44"/>
      <c r="H190" s="44"/>
      <c r="I190" s="19"/>
      <c r="J190" s="214" t="s">
        <v>79</v>
      </c>
      <c r="K190" s="214"/>
      <c r="L190" s="214"/>
      <c r="M190" s="214"/>
      <c r="P190" s="215" t="s">
        <v>65</v>
      </c>
      <c r="Q190" s="215"/>
      <c r="R190" s="215"/>
      <c r="S190" s="215"/>
    </row>
    <row r="191" spans="1:20">
      <c r="A191" s="216" t="s">
        <v>78</v>
      </c>
      <c r="B191" s="216"/>
      <c r="C191" s="216"/>
      <c r="D191" s="216"/>
      <c r="E191" s="9"/>
      <c r="F191" s="9"/>
      <c r="G191" s="9"/>
      <c r="H191" s="9"/>
      <c r="I191" s="19"/>
      <c r="J191" s="216" t="s">
        <v>80</v>
      </c>
      <c r="K191" s="216"/>
      <c r="L191" s="216"/>
      <c r="P191" s="217" t="s">
        <v>66</v>
      </c>
      <c r="Q191" s="217"/>
      <c r="R191" s="217"/>
      <c r="S191" s="217"/>
    </row>
    <row r="192" spans="1:20">
      <c r="E192" s="9"/>
      <c r="F192" s="9"/>
      <c r="G192" s="9"/>
      <c r="H192" s="9"/>
      <c r="I192" s="19"/>
      <c r="J192" s="17"/>
    </row>
    <row r="193" spans="1:19">
      <c r="C193" s="79"/>
      <c r="E193" s="9"/>
      <c r="F193" s="9"/>
      <c r="G193" s="9"/>
      <c r="H193" s="9"/>
      <c r="I193" s="19"/>
      <c r="J193" s="17"/>
    </row>
    <row r="194" spans="1:19">
      <c r="E194" s="9"/>
      <c r="F194" s="9"/>
      <c r="G194" s="9"/>
      <c r="H194" s="9"/>
      <c r="I194" s="19"/>
      <c r="J194" s="17"/>
      <c r="L194" s="12"/>
      <c r="P194" s="16"/>
    </row>
    <row r="195" spans="1:19">
      <c r="E195" s="9"/>
      <c r="F195" s="9"/>
      <c r="G195" s="9"/>
      <c r="H195" s="9"/>
      <c r="I195" s="19"/>
      <c r="J195" s="17"/>
    </row>
    <row r="196" spans="1:19" ht="15.75">
      <c r="B196" s="209" t="s">
        <v>97</v>
      </c>
      <c r="C196" s="209"/>
      <c r="D196" s="209"/>
      <c r="E196" s="9"/>
      <c r="F196" s="9"/>
      <c r="G196" s="9"/>
      <c r="H196" s="9"/>
      <c r="I196" s="19"/>
      <c r="J196" s="209" t="s">
        <v>59</v>
      </c>
      <c r="K196" s="209"/>
      <c r="L196" s="209"/>
      <c r="M196" s="209"/>
      <c r="P196" s="209" t="s">
        <v>81</v>
      </c>
      <c r="Q196" s="209"/>
      <c r="R196" s="209"/>
      <c r="S196" s="209"/>
    </row>
    <row r="208" spans="1:19" ht="15.75">
      <c r="A208" s="227" t="s">
        <v>55</v>
      </c>
      <c r="B208" s="227"/>
      <c r="C208" s="227"/>
      <c r="D208" s="227"/>
      <c r="E208" s="227"/>
      <c r="F208" s="227"/>
      <c r="G208" s="227"/>
      <c r="H208" s="227"/>
      <c r="I208" s="19"/>
      <c r="J208" s="17"/>
      <c r="Q208" s="228" t="s">
        <v>178</v>
      </c>
      <c r="R208" s="228"/>
      <c r="S208" s="228"/>
    </row>
    <row r="209" spans="1:20">
      <c r="A209" s="229" t="s">
        <v>67</v>
      </c>
      <c r="B209" s="229"/>
      <c r="C209" s="229"/>
      <c r="D209" s="229"/>
      <c r="E209" s="229"/>
      <c r="F209" s="229"/>
      <c r="G209" s="229"/>
      <c r="H209" s="9"/>
      <c r="I209" s="19"/>
      <c r="J209" s="17"/>
      <c r="R209" s="230" t="s">
        <v>68</v>
      </c>
      <c r="S209" s="230"/>
    </row>
    <row r="210" spans="1:20" ht="15.75">
      <c r="A210" s="227" t="s">
        <v>56</v>
      </c>
      <c r="B210" s="227"/>
      <c r="C210" s="227"/>
      <c r="D210" s="227"/>
      <c r="E210" s="227"/>
      <c r="F210" s="227"/>
      <c r="G210" s="227"/>
      <c r="H210" s="9"/>
      <c r="I210" s="19"/>
      <c r="J210" s="17"/>
      <c r="R210" s="29" t="s">
        <v>63</v>
      </c>
    </row>
    <row r="211" spans="1:20" ht="20.25">
      <c r="A211" s="231" t="s">
        <v>76</v>
      </c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</row>
    <row r="212" spans="1:20" ht="18.75">
      <c r="A212" s="232" t="s">
        <v>176</v>
      </c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</row>
    <row r="213" spans="1:20">
      <c r="A213" s="225" t="s">
        <v>0</v>
      </c>
      <c r="B213" s="226" t="s">
        <v>1</v>
      </c>
      <c r="C213" s="226" t="s">
        <v>2</v>
      </c>
      <c r="D213" s="226" t="s">
        <v>3</v>
      </c>
      <c r="E213" s="226" t="s">
        <v>20</v>
      </c>
      <c r="F213" s="226"/>
      <c r="G213" s="226"/>
      <c r="H213" s="226"/>
      <c r="I213" s="226"/>
      <c r="J213" s="226"/>
      <c r="K213" s="226"/>
      <c r="L213" s="226"/>
      <c r="M213" s="233" t="s">
        <v>9</v>
      </c>
      <c r="N213" s="233" t="s">
        <v>11</v>
      </c>
      <c r="O213" s="226" t="s">
        <v>12</v>
      </c>
      <c r="P213" s="234" t="s">
        <v>13</v>
      </c>
      <c r="Q213" s="235"/>
      <c r="R213" s="236"/>
      <c r="S213" s="226" t="s">
        <v>15</v>
      </c>
      <c r="T213" s="218" t="s">
        <v>57</v>
      </c>
    </row>
    <row r="214" spans="1:20">
      <c r="A214" s="225"/>
      <c r="B214" s="226"/>
      <c r="C214" s="226"/>
      <c r="D214" s="226"/>
      <c r="E214" s="221" t="s">
        <v>4</v>
      </c>
      <c r="F214" s="222" t="s">
        <v>5</v>
      </c>
      <c r="G214" s="223" t="s">
        <v>6</v>
      </c>
      <c r="H214" s="223"/>
      <c r="I214" s="223"/>
      <c r="J214" s="223"/>
      <c r="K214" s="224" t="s">
        <v>7</v>
      </c>
      <c r="L214" s="224" t="s">
        <v>8</v>
      </c>
      <c r="M214" s="233"/>
      <c r="N214" s="233"/>
      <c r="O214" s="226"/>
      <c r="P214" s="225" t="s">
        <v>10</v>
      </c>
      <c r="Q214" s="226" t="s">
        <v>85</v>
      </c>
      <c r="R214" s="225" t="s">
        <v>14</v>
      </c>
      <c r="S214" s="226"/>
      <c r="T214" s="219"/>
    </row>
    <row r="215" spans="1:20" ht="63">
      <c r="A215" s="225"/>
      <c r="B215" s="226"/>
      <c r="C215" s="226"/>
      <c r="D215" s="226"/>
      <c r="E215" s="221"/>
      <c r="F215" s="222"/>
      <c r="G215" s="121" t="s">
        <v>26</v>
      </c>
      <c r="H215" s="121" t="s">
        <v>86</v>
      </c>
      <c r="I215" s="20" t="s">
        <v>24</v>
      </c>
      <c r="J215" s="18" t="s">
        <v>25</v>
      </c>
      <c r="K215" s="224"/>
      <c r="L215" s="224"/>
      <c r="M215" s="233"/>
      <c r="N215" s="233"/>
      <c r="O215" s="226"/>
      <c r="P215" s="225"/>
      <c r="Q215" s="226"/>
      <c r="R215" s="225"/>
      <c r="S215" s="226"/>
      <c r="T215" s="220"/>
    </row>
    <row r="216" spans="1:20">
      <c r="A216" s="4" t="s">
        <v>16</v>
      </c>
      <c r="B216" s="4" t="s">
        <v>17</v>
      </c>
      <c r="C216" s="4" t="s">
        <v>18</v>
      </c>
      <c r="D216" s="4" t="s">
        <v>19</v>
      </c>
      <c r="E216" s="13">
        <v>1</v>
      </c>
      <c r="F216" s="13">
        <v>2</v>
      </c>
      <c r="G216" s="13">
        <v>3</v>
      </c>
      <c r="H216" s="13">
        <v>4</v>
      </c>
      <c r="I216" s="13">
        <v>5</v>
      </c>
      <c r="J216" s="23">
        <v>6</v>
      </c>
      <c r="K216" s="4">
        <v>7</v>
      </c>
      <c r="L216" s="4">
        <v>8</v>
      </c>
      <c r="M216" s="4">
        <v>9</v>
      </c>
      <c r="N216" s="4">
        <v>10</v>
      </c>
      <c r="O216" s="30" t="s">
        <v>87</v>
      </c>
      <c r="P216" s="30">
        <v>12</v>
      </c>
      <c r="Q216" s="30">
        <v>13</v>
      </c>
      <c r="R216" s="30">
        <v>14</v>
      </c>
      <c r="S216" s="30" t="s">
        <v>88</v>
      </c>
      <c r="T216" s="2"/>
    </row>
    <row r="217" spans="1:20" ht="16.5">
      <c r="A217" s="21">
        <v>1</v>
      </c>
      <c r="B217" s="39" t="s">
        <v>89</v>
      </c>
      <c r="C217" s="42" t="s">
        <v>60</v>
      </c>
      <c r="D217" s="46" t="s">
        <v>61</v>
      </c>
      <c r="E217" s="47">
        <v>5.0199999999999996</v>
      </c>
      <c r="F217" s="47">
        <v>0.35</v>
      </c>
      <c r="G217" s="25"/>
      <c r="H217" s="22"/>
      <c r="I217" s="48">
        <f>(E217+F217+G217)*24/100</f>
        <v>1.2887999999999999</v>
      </c>
      <c r="J217" s="49">
        <f>30/100*(E217+F217+G217)</f>
        <v>1.6109999999999998</v>
      </c>
      <c r="K217" s="50">
        <f>E217+F217+G217+H217+I217+J217</f>
        <v>8.2698</v>
      </c>
      <c r="L217" s="51">
        <f>K217*1490000</f>
        <v>12322002</v>
      </c>
      <c r="M217" s="52"/>
      <c r="N217" s="52"/>
      <c r="O217" s="51">
        <f>L217-M217+N217</f>
        <v>12322002</v>
      </c>
      <c r="P217" s="53">
        <f>((E217+F217+G217+I217)*1490000-M217)*9.5%</f>
        <v>942553.14</v>
      </c>
      <c r="Q217" s="54"/>
      <c r="R217" s="53">
        <f>P217+Q217</f>
        <v>942553.14</v>
      </c>
      <c r="S217" s="53">
        <f>O217-R217</f>
        <v>11379448.859999999</v>
      </c>
      <c r="T217" s="41"/>
    </row>
    <row r="218" spans="1:20" ht="15.75">
      <c r="A218" s="21">
        <v>2</v>
      </c>
      <c r="B218" s="39" t="s">
        <v>21</v>
      </c>
      <c r="C218" s="40" t="s">
        <v>28</v>
      </c>
      <c r="D218" s="55" t="s">
        <v>27</v>
      </c>
      <c r="E218" s="24">
        <v>4.9800000000000004</v>
      </c>
      <c r="F218" s="56"/>
      <c r="G218" s="57">
        <f>E218*6%</f>
        <v>0.29880000000000001</v>
      </c>
      <c r="H218" s="10"/>
      <c r="I218" s="48">
        <f>(E218+F218+G218)*26/100</f>
        <v>1.3724880000000002</v>
      </c>
      <c r="J218" s="49">
        <f>30/100*(E218+F218+G218)</f>
        <v>1.5836400000000002</v>
      </c>
      <c r="K218" s="50">
        <f>E218+F218+G218+H218+I218+J218</f>
        <v>8.2349280000000018</v>
      </c>
      <c r="L218" s="51">
        <f>K218*1490000</f>
        <v>12270042.720000003</v>
      </c>
      <c r="M218" s="58"/>
      <c r="N218" s="58"/>
      <c r="O218" s="51">
        <f>L218-M218+N218</f>
        <v>12270042.720000003</v>
      </c>
      <c r="P218" s="53">
        <f>((E218+F218+G218+I218)*1490000-M218)*10.5%</f>
        <v>1040594.0076000001</v>
      </c>
      <c r="Q218" s="54"/>
      <c r="R218" s="53">
        <f t="shared" ref="R218:R253" si="84">P218+Q218</f>
        <v>1040594.0076000001</v>
      </c>
      <c r="S218" s="53">
        <f t="shared" ref="S218" si="85">O218-R218</f>
        <v>11229448.712400002</v>
      </c>
      <c r="T218" s="59">
        <v>0.06</v>
      </c>
    </row>
    <row r="219" spans="1:20" ht="16.5">
      <c r="A219" s="21">
        <v>3</v>
      </c>
      <c r="B219" s="39" t="s">
        <v>22</v>
      </c>
      <c r="C219" s="40" t="s">
        <v>30</v>
      </c>
      <c r="D219" s="55" t="s">
        <v>90</v>
      </c>
      <c r="E219" s="24">
        <v>4.8899999999999997</v>
      </c>
      <c r="F219" s="47">
        <v>0.15</v>
      </c>
      <c r="G219" s="57"/>
      <c r="H219" s="10"/>
      <c r="I219" s="48">
        <f>(E219+F219+G219)*31/100</f>
        <v>1.5624</v>
      </c>
      <c r="J219" s="49">
        <f>30/100*(E219+F219+G219)</f>
        <v>1.512</v>
      </c>
      <c r="K219" s="50">
        <f t="shared" ref="K219:K247" si="86">E219+F219+G219+H219+I219+J219</f>
        <v>8.1143999999999998</v>
      </c>
      <c r="L219" s="51">
        <f t="shared" ref="L219:L249" si="87">K219*1490000</f>
        <v>12090456</v>
      </c>
      <c r="M219" s="58"/>
      <c r="N219" s="58"/>
      <c r="O219" s="51">
        <f t="shared" ref="O219:O236" si="88">L219-M219+N219</f>
        <v>12090456</v>
      </c>
      <c r="P219" s="53">
        <f t="shared" ref="P219:P226" si="89">((E219+F219+G219+I219)*1490000-M219)*10.5%</f>
        <v>1032945.48</v>
      </c>
      <c r="Q219" s="54"/>
      <c r="R219" s="53">
        <f t="shared" si="84"/>
        <v>1032945.48</v>
      </c>
      <c r="S219" s="53">
        <f>O219-R219</f>
        <v>11057510.52</v>
      </c>
      <c r="T219" s="2"/>
    </row>
    <row r="220" spans="1:20" ht="15.75">
      <c r="A220" s="21">
        <v>4</v>
      </c>
      <c r="B220" s="39" t="s">
        <v>21</v>
      </c>
      <c r="C220" s="40" t="s">
        <v>32</v>
      </c>
      <c r="D220" s="55" t="s">
        <v>29</v>
      </c>
      <c r="E220" s="24">
        <v>4.9800000000000004</v>
      </c>
      <c r="F220" s="47">
        <v>0.2</v>
      </c>
      <c r="G220" s="57">
        <f>E220*5%</f>
        <v>0.24900000000000003</v>
      </c>
      <c r="H220" s="10"/>
      <c r="I220" s="48">
        <f>(E220+F220+G220)*23%</f>
        <v>1.2486700000000002</v>
      </c>
      <c r="J220" s="49">
        <f t="shared" ref="J220" si="90">30/100*(E220+F220+G220)</f>
        <v>1.6287</v>
      </c>
      <c r="K220" s="50">
        <f t="shared" si="86"/>
        <v>8.3063700000000011</v>
      </c>
      <c r="L220" s="51">
        <f t="shared" si="87"/>
        <v>12376491.300000003</v>
      </c>
      <c r="M220" s="58"/>
      <c r="N220" s="58"/>
      <c r="O220" s="51">
        <f t="shared" si="88"/>
        <v>12376491.300000003</v>
      </c>
      <c r="P220" s="53">
        <f t="shared" si="89"/>
        <v>1044721.4715</v>
      </c>
      <c r="Q220" s="54"/>
      <c r="R220" s="53">
        <f t="shared" si="84"/>
        <v>1044721.4715</v>
      </c>
      <c r="S220" s="53">
        <f t="shared" ref="S220:S222" si="91">O220-R220</f>
        <v>11331769.828500003</v>
      </c>
      <c r="T220" s="59">
        <v>0.05</v>
      </c>
    </row>
    <row r="221" spans="1:20" ht="15.75">
      <c r="A221" s="21">
        <v>5</v>
      </c>
      <c r="B221" s="39" t="s">
        <v>21</v>
      </c>
      <c r="C221" s="40" t="s">
        <v>82</v>
      </c>
      <c r="D221" s="55" t="s">
        <v>29</v>
      </c>
      <c r="E221" s="24">
        <v>4.9800000000000004</v>
      </c>
      <c r="F221" s="47">
        <v>0.2</v>
      </c>
      <c r="G221" s="57">
        <f>E221*6%</f>
        <v>0.29880000000000001</v>
      </c>
      <c r="H221" s="10"/>
      <c r="I221" s="48">
        <f>(E221+F221+G221)*27%</f>
        <v>1.4792760000000003</v>
      </c>
      <c r="J221" s="49">
        <f>30/100*(E221+F221+G221)</f>
        <v>1.6436400000000002</v>
      </c>
      <c r="K221" s="50">
        <f t="shared" si="86"/>
        <v>8.6017160000000015</v>
      </c>
      <c r="L221" s="51">
        <f t="shared" si="87"/>
        <v>12816556.840000002</v>
      </c>
      <c r="M221" s="58"/>
      <c r="N221" s="58"/>
      <c r="O221" s="51">
        <f t="shared" si="88"/>
        <v>12816556.840000002</v>
      </c>
      <c r="P221" s="53">
        <f t="shared" si="89"/>
        <v>1088590.9902000001</v>
      </c>
      <c r="Q221" s="54"/>
      <c r="R221" s="53">
        <f t="shared" si="84"/>
        <v>1088590.9902000001</v>
      </c>
      <c r="S221" s="53">
        <f t="shared" si="91"/>
        <v>11727965.849800002</v>
      </c>
      <c r="T221" s="59">
        <v>0.06</v>
      </c>
    </row>
    <row r="222" spans="1:20" ht="15.75">
      <c r="A222" s="21">
        <v>6</v>
      </c>
      <c r="B222" s="39" t="s">
        <v>21</v>
      </c>
      <c r="C222" s="40" t="s">
        <v>84</v>
      </c>
      <c r="D222" s="55" t="s">
        <v>62</v>
      </c>
      <c r="E222" s="24">
        <v>4.6500000000000004</v>
      </c>
      <c r="F222" s="47">
        <v>0.25</v>
      </c>
      <c r="G222" s="14"/>
      <c r="H222" s="10"/>
      <c r="I222" s="48">
        <f>(E222+F222+G222)*21%</f>
        <v>1.0290000000000001</v>
      </c>
      <c r="J222" s="49">
        <f t="shared" ref="J222" si="92">30/100*(E222+F222+G222)</f>
        <v>1.47</v>
      </c>
      <c r="K222" s="50">
        <f t="shared" si="86"/>
        <v>7.399</v>
      </c>
      <c r="L222" s="51">
        <f t="shared" si="87"/>
        <v>11024510</v>
      </c>
      <c r="M222" s="58"/>
      <c r="N222" s="58"/>
      <c r="O222" s="51">
        <f t="shared" si="88"/>
        <v>11024510</v>
      </c>
      <c r="P222" s="53">
        <f t="shared" si="89"/>
        <v>927592.04999999993</v>
      </c>
      <c r="Q222" s="54"/>
      <c r="R222" s="53">
        <f t="shared" si="84"/>
        <v>927592.04999999993</v>
      </c>
      <c r="S222" s="53">
        <f t="shared" si="91"/>
        <v>10096917.949999999</v>
      </c>
      <c r="T222" s="41"/>
    </row>
    <row r="223" spans="1:20" ht="16.5">
      <c r="A223" s="21">
        <v>7</v>
      </c>
      <c r="B223" s="39" t="s">
        <v>22</v>
      </c>
      <c r="C223" s="42" t="s">
        <v>31</v>
      </c>
      <c r="D223" s="55" t="s">
        <v>27</v>
      </c>
      <c r="E223" s="24">
        <v>4.8899999999999997</v>
      </c>
      <c r="F223" s="47"/>
      <c r="G223" s="57"/>
      <c r="H223" s="10"/>
      <c r="I223" s="48">
        <f>(E223+F223+G223)*27/100</f>
        <v>1.3203</v>
      </c>
      <c r="J223" s="49">
        <f>30/100*(E223+F223+G223)</f>
        <v>1.4669999999999999</v>
      </c>
      <c r="K223" s="50">
        <f t="shared" si="86"/>
        <v>7.6772999999999998</v>
      </c>
      <c r="L223" s="51">
        <f t="shared" si="87"/>
        <v>11439177</v>
      </c>
      <c r="M223" s="58"/>
      <c r="N223" s="58"/>
      <c r="O223" s="51">
        <f t="shared" si="88"/>
        <v>11439177</v>
      </c>
      <c r="P223" s="53">
        <f t="shared" si="89"/>
        <v>971601.43499999994</v>
      </c>
      <c r="Q223" s="54"/>
      <c r="R223" s="53">
        <f t="shared" si="84"/>
        <v>971601.43499999994</v>
      </c>
      <c r="S223" s="53">
        <f>O223-R223</f>
        <v>10467575.564999999</v>
      </c>
      <c r="T223" s="41"/>
    </row>
    <row r="224" spans="1:20" ht="15.75">
      <c r="A224" s="21">
        <v>8</v>
      </c>
      <c r="B224" s="39" t="s">
        <v>21</v>
      </c>
      <c r="C224" s="26" t="s">
        <v>70</v>
      </c>
      <c r="D224" s="55" t="s">
        <v>27</v>
      </c>
      <c r="E224" s="24">
        <v>4.6500000000000004</v>
      </c>
      <c r="F224" s="47"/>
      <c r="G224" s="14"/>
      <c r="H224" s="10"/>
      <c r="I224" s="48">
        <f>(E224+F224+G224)*22/100</f>
        <v>1.0230000000000001</v>
      </c>
      <c r="J224" s="49">
        <f t="shared" ref="J224:J226" si="93">30/100*(E224+F224+G224)</f>
        <v>1.395</v>
      </c>
      <c r="K224" s="50">
        <f t="shared" si="86"/>
        <v>7.0679999999999996</v>
      </c>
      <c r="L224" s="51">
        <f t="shared" si="87"/>
        <v>10531320</v>
      </c>
      <c r="M224" s="58"/>
      <c r="N224" s="58"/>
      <c r="O224" s="51">
        <f t="shared" si="88"/>
        <v>10531320</v>
      </c>
      <c r="P224" s="53">
        <f t="shared" si="89"/>
        <v>887540.85</v>
      </c>
      <c r="Q224" s="54"/>
      <c r="R224" s="53">
        <f t="shared" si="84"/>
        <v>887540.85</v>
      </c>
      <c r="S224" s="53">
        <f t="shared" ref="S224:S227" si="94">O224-R224</f>
        <v>9643779.1500000004</v>
      </c>
      <c r="T224" s="41"/>
    </row>
    <row r="225" spans="1:20" ht="15.75">
      <c r="A225" s="21">
        <v>9</v>
      </c>
      <c r="B225" s="39" t="s">
        <v>21</v>
      </c>
      <c r="C225" s="26" t="s">
        <v>33</v>
      </c>
      <c r="D225" s="55" t="s">
        <v>29</v>
      </c>
      <c r="E225" s="24">
        <v>4.6500000000000004</v>
      </c>
      <c r="F225" s="47">
        <v>0.2</v>
      </c>
      <c r="G225" s="14"/>
      <c r="H225" s="10"/>
      <c r="I225" s="48">
        <f>(E225+F225+G225)*21/100</f>
        <v>1.0185000000000002</v>
      </c>
      <c r="J225" s="49">
        <f t="shared" si="93"/>
        <v>1.4550000000000001</v>
      </c>
      <c r="K225" s="50">
        <f t="shared" si="86"/>
        <v>7.323500000000001</v>
      </c>
      <c r="L225" s="51">
        <f t="shared" si="87"/>
        <v>10912015.000000002</v>
      </c>
      <c r="M225" s="58"/>
      <c r="N225" s="58"/>
      <c r="O225" s="51">
        <f t="shared" si="88"/>
        <v>10912015.000000002</v>
      </c>
      <c r="P225" s="53">
        <f t="shared" si="89"/>
        <v>918126.82500000019</v>
      </c>
      <c r="Q225" s="54"/>
      <c r="R225" s="53">
        <f t="shared" si="84"/>
        <v>918126.82500000019</v>
      </c>
      <c r="S225" s="53">
        <f t="shared" si="94"/>
        <v>9993888.1750000007</v>
      </c>
      <c r="T225" s="41"/>
    </row>
    <row r="226" spans="1:20" ht="15.75">
      <c r="A226" s="21">
        <v>10</v>
      </c>
      <c r="B226" s="39" t="s">
        <v>21</v>
      </c>
      <c r="C226" s="26" t="s">
        <v>34</v>
      </c>
      <c r="D226" s="55" t="s">
        <v>27</v>
      </c>
      <c r="E226" s="24">
        <v>4.32</v>
      </c>
      <c r="F226" s="47"/>
      <c r="G226" s="14"/>
      <c r="H226" s="10"/>
      <c r="I226" s="48">
        <f>(E226+F226+G226)*18/100</f>
        <v>0.77760000000000007</v>
      </c>
      <c r="J226" s="49">
        <f t="shared" si="93"/>
        <v>1.296</v>
      </c>
      <c r="K226" s="50">
        <f t="shared" si="86"/>
        <v>6.3936000000000002</v>
      </c>
      <c r="L226" s="51">
        <f t="shared" si="87"/>
        <v>9526464</v>
      </c>
      <c r="M226" s="58"/>
      <c r="N226" s="58"/>
      <c r="O226" s="51">
        <f t="shared" si="88"/>
        <v>9526464</v>
      </c>
      <c r="P226" s="53">
        <f t="shared" si="89"/>
        <v>797519.52</v>
      </c>
      <c r="Q226" s="54"/>
      <c r="R226" s="53">
        <f t="shared" si="84"/>
        <v>797519.52</v>
      </c>
      <c r="S226" s="53">
        <f t="shared" si="94"/>
        <v>8728944.4800000004</v>
      </c>
      <c r="T226" s="41"/>
    </row>
    <row r="227" spans="1:20">
      <c r="A227" s="21">
        <v>11</v>
      </c>
      <c r="B227" s="39" t="s">
        <v>21</v>
      </c>
      <c r="C227" s="42" t="s">
        <v>36</v>
      </c>
      <c r="D227" s="55" t="s">
        <v>29</v>
      </c>
      <c r="E227" s="24">
        <v>4.32</v>
      </c>
      <c r="F227" s="47">
        <v>0.2</v>
      </c>
      <c r="G227" s="33"/>
      <c r="H227" s="35"/>
      <c r="I227" s="48">
        <f>(E227+F227+G227)*20%</f>
        <v>0.90400000000000014</v>
      </c>
      <c r="J227" s="49">
        <f>30/100*(E227+F227+G227)</f>
        <v>1.3560000000000001</v>
      </c>
      <c r="K227" s="50">
        <f t="shared" si="86"/>
        <v>6.78</v>
      </c>
      <c r="L227" s="51">
        <f t="shared" si="87"/>
        <v>10102200</v>
      </c>
      <c r="M227" s="58"/>
      <c r="N227" s="58"/>
      <c r="O227" s="51">
        <f t="shared" si="88"/>
        <v>10102200</v>
      </c>
      <c r="P227" s="53">
        <f>((E227+F227+G227+I227)*1490000-M227)*10.5%</f>
        <v>848584.8</v>
      </c>
      <c r="Q227" s="54"/>
      <c r="R227" s="53">
        <f t="shared" si="84"/>
        <v>848584.8</v>
      </c>
      <c r="S227" s="53">
        <f t="shared" si="94"/>
        <v>9253615.1999999993</v>
      </c>
      <c r="T227" s="2"/>
    </row>
    <row r="228" spans="1:20">
      <c r="A228" s="21">
        <v>12</v>
      </c>
      <c r="B228" s="39" t="s">
        <v>64</v>
      </c>
      <c r="C228" s="26" t="s">
        <v>59</v>
      </c>
      <c r="D228" s="55" t="s">
        <v>35</v>
      </c>
      <c r="E228" s="24">
        <v>4.2699999999999996</v>
      </c>
      <c r="F228" s="47">
        <v>0.2</v>
      </c>
      <c r="G228" s="33"/>
      <c r="H228" s="34">
        <v>0.1</v>
      </c>
      <c r="I228" s="48"/>
      <c r="J228" s="49"/>
      <c r="K228" s="50">
        <f t="shared" si="86"/>
        <v>4.5699999999999994</v>
      </c>
      <c r="L228" s="51">
        <f t="shared" si="87"/>
        <v>6809299.9999999991</v>
      </c>
      <c r="M228" s="58"/>
      <c r="N228" s="58"/>
      <c r="O228" s="51">
        <f t="shared" si="88"/>
        <v>6809299.9999999991</v>
      </c>
      <c r="P228" s="53">
        <f>((E228+F228+G228+I228)*1490000-M228)*10.5%</f>
        <v>699331.5</v>
      </c>
      <c r="Q228" s="54"/>
      <c r="R228" s="53">
        <f t="shared" si="84"/>
        <v>699331.5</v>
      </c>
      <c r="S228" s="53">
        <f>O228-R228</f>
        <v>6109968.4999999991</v>
      </c>
      <c r="T228" s="2"/>
    </row>
    <row r="229" spans="1:20">
      <c r="A229" s="21">
        <v>13</v>
      </c>
      <c r="B229" s="39" t="s">
        <v>21</v>
      </c>
      <c r="C229" s="40" t="s">
        <v>69</v>
      </c>
      <c r="D229" s="55" t="s">
        <v>27</v>
      </c>
      <c r="E229" s="24">
        <v>4.32</v>
      </c>
      <c r="F229" s="47"/>
      <c r="G229" s="33"/>
      <c r="H229" s="35"/>
      <c r="I229" s="48">
        <f>(E229+F229+G229)*20/100</f>
        <v>0.8640000000000001</v>
      </c>
      <c r="J229" s="49">
        <f>30/100*(E229+F229+G229)</f>
        <v>1.296</v>
      </c>
      <c r="K229" s="50">
        <f t="shared" si="86"/>
        <v>6.48</v>
      </c>
      <c r="L229" s="51">
        <f t="shared" si="87"/>
        <v>9655200</v>
      </c>
      <c r="M229" s="58"/>
      <c r="N229" s="58"/>
      <c r="O229" s="51">
        <f t="shared" si="88"/>
        <v>9655200</v>
      </c>
      <c r="P229" s="53">
        <f t="shared" ref="P229:P247" si="95">((E229+F229+G229+I229)*1490000-M229)*10.5%</f>
        <v>811036.79999999993</v>
      </c>
      <c r="Q229" s="54"/>
      <c r="R229" s="53">
        <f t="shared" si="84"/>
        <v>811036.79999999993</v>
      </c>
      <c r="S229" s="53">
        <f t="shared" ref="S229:S236" si="96">O229-R229</f>
        <v>8844163.1999999993</v>
      </c>
      <c r="T229" s="2"/>
    </row>
    <row r="230" spans="1:20">
      <c r="A230" s="21">
        <v>14</v>
      </c>
      <c r="B230" s="39" t="s">
        <v>21</v>
      </c>
      <c r="C230" s="40" t="s">
        <v>37</v>
      </c>
      <c r="D230" s="55" t="s">
        <v>27</v>
      </c>
      <c r="E230" s="24">
        <v>4.32</v>
      </c>
      <c r="F230" s="24"/>
      <c r="G230" s="33"/>
      <c r="H230" s="35"/>
      <c r="I230" s="48">
        <f>(E230+F230+G230)*20/100</f>
        <v>0.8640000000000001</v>
      </c>
      <c r="J230" s="49">
        <f>30/100*(E230+F230+G230)</f>
        <v>1.296</v>
      </c>
      <c r="K230" s="50">
        <f t="shared" si="86"/>
        <v>6.48</v>
      </c>
      <c r="L230" s="51">
        <f t="shared" si="87"/>
        <v>9655200</v>
      </c>
      <c r="M230" s="58"/>
      <c r="N230" s="58"/>
      <c r="O230" s="51">
        <f t="shared" si="88"/>
        <v>9655200</v>
      </c>
      <c r="P230" s="53">
        <f t="shared" si="95"/>
        <v>811036.79999999993</v>
      </c>
      <c r="Q230" s="54"/>
      <c r="R230" s="53">
        <f t="shared" si="84"/>
        <v>811036.79999999993</v>
      </c>
      <c r="S230" s="53">
        <f t="shared" si="96"/>
        <v>8844163.1999999993</v>
      </c>
      <c r="T230" s="2"/>
    </row>
    <row r="231" spans="1:20">
      <c r="A231" s="21">
        <v>15</v>
      </c>
      <c r="B231" s="39" t="s">
        <v>21</v>
      </c>
      <c r="C231" s="40" t="s">
        <v>71</v>
      </c>
      <c r="D231" s="55" t="s">
        <v>27</v>
      </c>
      <c r="E231" s="24">
        <v>4.32</v>
      </c>
      <c r="F231" s="24"/>
      <c r="G231" s="33"/>
      <c r="H231" s="35"/>
      <c r="I231" s="48">
        <f>(E231+F231+G231)*19/100</f>
        <v>0.82080000000000009</v>
      </c>
      <c r="J231" s="49">
        <f t="shared" ref="J231:J233" si="97">30/100*(E231+F231+G231)</f>
        <v>1.296</v>
      </c>
      <c r="K231" s="50">
        <f t="shared" si="86"/>
        <v>6.4368000000000007</v>
      </c>
      <c r="L231" s="51">
        <f t="shared" si="87"/>
        <v>9590832.0000000019</v>
      </c>
      <c r="M231" s="58"/>
      <c r="N231" s="58"/>
      <c r="O231" s="51">
        <f t="shared" si="88"/>
        <v>9590832.0000000019</v>
      </c>
      <c r="P231" s="53">
        <f t="shared" si="95"/>
        <v>804278.16</v>
      </c>
      <c r="Q231" s="54"/>
      <c r="R231" s="53">
        <f t="shared" si="84"/>
        <v>804278.16</v>
      </c>
      <c r="S231" s="53">
        <f t="shared" si="96"/>
        <v>8786553.8400000017</v>
      </c>
      <c r="T231" s="41"/>
    </row>
    <row r="232" spans="1:20">
      <c r="A232" s="21">
        <v>16</v>
      </c>
      <c r="B232" s="39" t="s">
        <v>21</v>
      </c>
      <c r="C232" s="40" t="s">
        <v>38</v>
      </c>
      <c r="D232" s="55" t="s">
        <v>27</v>
      </c>
      <c r="E232" s="24">
        <v>4.32</v>
      </c>
      <c r="F232" s="24"/>
      <c r="G232" s="33"/>
      <c r="H232" s="35"/>
      <c r="I232" s="48">
        <f>(E232+F232+G232)*18%</f>
        <v>0.77760000000000007</v>
      </c>
      <c r="J232" s="49">
        <f t="shared" si="97"/>
        <v>1.296</v>
      </c>
      <c r="K232" s="50">
        <f t="shared" si="86"/>
        <v>6.3936000000000002</v>
      </c>
      <c r="L232" s="51">
        <f t="shared" si="87"/>
        <v>9526464</v>
      </c>
      <c r="M232" s="58"/>
      <c r="N232" s="58"/>
      <c r="O232" s="51">
        <f t="shared" si="88"/>
        <v>9526464</v>
      </c>
      <c r="P232" s="53">
        <f t="shared" si="95"/>
        <v>797519.52</v>
      </c>
      <c r="Q232" s="54"/>
      <c r="R232" s="53">
        <f t="shared" si="84"/>
        <v>797519.52</v>
      </c>
      <c r="S232" s="53">
        <f t="shared" si="96"/>
        <v>8728944.4800000004</v>
      </c>
      <c r="T232" s="41"/>
    </row>
    <row r="233" spans="1:20">
      <c r="A233" s="21">
        <v>17</v>
      </c>
      <c r="B233" s="39" t="s">
        <v>21</v>
      </c>
      <c r="C233" s="40" t="s">
        <v>72</v>
      </c>
      <c r="D233" s="55" t="s">
        <v>27</v>
      </c>
      <c r="E233" s="24">
        <v>4.32</v>
      </c>
      <c r="F233" s="24"/>
      <c r="G233" s="33"/>
      <c r="H233" s="35"/>
      <c r="I233" s="48">
        <f>(E233+F233+G233)*18%</f>
        <v>0.77760000000000007</v>
      </c>
      <c r="J233" s="49">
        <f t="shared" si="97"/>
        <v>1.296</v>
      </c>
      <c r="K233" s="50">
        <f t="shared" si="86"/>
        <v>6.3936000000000002</v>
      </c>
      <c r="L233" s="51">
        <f t="shared" si="87"/>
        <v>9526464</v>
      </c>
      <c r="M233" s="58"/>
      <c r="N233" s="58"/>
      <c r="O233" s="51">
        <f t="shared" si="88"/>
        <v>9526464</v>
      </c>
      <c r="P233" s="53">
        <f t="shared" si="95"/>
        <v>797519.52</v>
      </c>
      <c r="Q233" s="54"/>
      <c r="R233" s="53">
        <f t="shared" si="84"/>
        <v>797519.52</v>
      </c>
      <c r="S233" s="53">
        <f t="shared" si="96"/>
        <v>8728944.4800000004</v>
      </c>
      <c r="T233" s="41"/>
    </row>
    <row r="234" spans="1:20">
      <c r="A234" s="21">
        <v>18</v>
      </c>
      <c r="B234" s="39" t="s">
        <v>21</v>
      </c>
      <c r="C234" s="40" t="s">
        <v>91</v>
      </c>
      <c r="D234" s="55" t="s">
        <v>27</v>
      </c>
      <c r="E234" s="24">
        <v>4.32</v>
      </c>
      <c r="F234" s="24">
        <v>0.15</v>
      </c>
      <c r="G234" s="60"/>
      <c r="H234" s="35"/>
      <c r="I234" s="48">
        <f>(E234+F234+G234)*19%</f>
        <v>0.84930000000000017</v>
      </c>
      <c r="J234" s="49">
        <f>30/100*(E234+F234+G234)</f>
        <v>1.3410000000000002</v>
      </c>
      <c r="K234" s="61">
        <f t="shared" si="86"/>
        <v>6.6603000000000012</v>
      </c>
      <c r="L234" s="62">
        <f t="shared" si="87"/>
        <v>9923847.0000000019</v>
      </c>
      <c r="M234" s="63"/>
      <c r="N234" s="63"/>
      <c r="O234" s="62">
        <f t="shared" si="88"/>
        <v>9923847.0000000019</v>
      </c>
      <c r="P234" s="64">
        <f t="shared" si="95"/>
        <v>832204.48500000022</v>
      </c>
      <c r="Q234" s="54"/>
      <c r="R234" s="64">
        <f t="shared" si="84"/>
        <v>832204.48500000022</v>
      </c>
      <c r="S234" s="64">
        <f t="shared" si="96"/>
        <v>9091642.5150000025</v>
      </c>
      <c r="T234" s="41"/>
    </row>
    <row r="235" spans="1:20">
      <c r="A235" s="21">
        <v>19</v>
      </c>
      <c r="B235" s="39" t="s">
        <v>21</v>
      </c>
      <c r="C235" s="40" t="s">
        <v>39</v>
      </c>
      <c r="D235" s="55" t="s">
        <v>27</v>
      </c>
      <c r="E235" s="24">
        <v>4.32</v>
      </c>
      <c r="F235" s="24"/>
      <c r="G235" s="33"/>
      <c r="H235" s="36"/>
      <c r="I235" s="48">
        <f>(E235+F235+G235)*21%</f>
        <v>0.90720000000000001</v>
      </c>
      <c r="J235" s="49">
        <f>30/100*(E235+F235+G235)</f>
        <v>1.296</v>
      </c>
      <c r="K235" s="50">
        <f t="shared" si="86"/>
        <v>6.5232000000000001</v>
      </c>
      <c r="L235" s="51">
        <f t="shared" si="87"/>
        <v>9719568</v>
      </c>
      <c r="M235" s="58"/>
      <c r="N235" s="58"/>
      <c r="O235" s="51">
        <f t="shared" si="88"/>
        <v>9719568</v>
      </c>
      <c r="P235" s="53">
        <f t="shared" si="95"/>
        <v>817795.44</v>
      </c>
      <c r="Q235" s="54"/>
      <c r="R235" s="53">
        <f t="shared" si="84"/>
        <v>817795.44</v>
      </c>
      <c r="S235" s="53">
        <f t="shared" si="96"/>
        <v>8901772.5600000005</v>
      </c>
      <c r="T235" s="41"/>
    </row>
    <row r="236" spans="1:20" ht="16.5">
      <c r="A236" s="21">
        <v>20</v>
      </c>
      <c r="B236" s="39" t="s">
        <v>22</v>
      </c>
      <c r="C236" s="40" t="s">
        <v>40</v>
      </c>
      <c r="D236" s="55" t="s">
        <v>90</v>
      </c>
      <c r="E236" s="24">
        <v>3.96</v>
      </c>
      <c r="F236" s="24">
        <v>0.15</v>
      </c>
      <c r="G236" s="33"/>
      <c r="H236" s="36"/>
      <c r="I236" s="48">
        <f>(E236+F236+G236)*18/100</f>
        <v>0.73980000000000001</v>
      </c>
      <c r="J236" s="49">
        <f t="shared" ref="J236" si="98">30/100*(E236+F236+G236)</f>
        <v>1.2330000000000001</v>
      </c>
      <c r="K236" s="50">
        <f t="shared" si="86"/>
        <v>6.0828000000000007</v>
      </c>
      <c r="L236" s="51">
        <f t="shared" si="87"/>
        <v>9063372.0000000019</v>
      </c>
      <c r="M236" s="58"/>
      <c r="N236" s="58"/>
      <c r="O236" s="51">
        <f t="shared" si="88"/>
        <v>9063372.0000000019</v>
      </c>
      <c r="P236" s="53">
        <f t="shared" si="95"/>
        <v>758751.21</v>
      </c>
      <c r="Q236" s="54"/>
      <c r="R236" s="53">
        <f t="shared" si="84"/>
        <v>758751.21</v>
      </c>
      <c r="S236" s="53">
        <f t="shared" si="96"/>
        <v>8304620.7900000019</v>
      </c>
      <c r="T236" s="41"/>
    </row>
    <row r="237" spans="1:20" ht="15.75">
      <c r="A237" s="21">
        <v>21</v>
      </c>
      <c r="B237" s="39" t="s">
        <v>21</v>
      </c>
      <c r="C237" s="40" t="s">
        <v>73</v>
      </c>
      <c r="D237" s="55" t="s">
        <v>27</v>
      </c>
      <c r="E237" s="24">
        <v>3.99</v>
      </c>
      <c r="F237" s="24"/>
      <c r="G237" s="14"/>
      <c r="H237" s="10"/>
      <c r="I237" s="48">
        <f>(E237+F237+G237)*17%</f>
        <v>0.67830000000000013</v>
      </c>
      <c r="J237" s="49">
        <f>30/100*(E237+F237+G237)</f>
        <v>1.1970000000000001</v>
      </c>
      <c r="K237" s="50">
        <f t="shared" si="86"/>
        <v>5.8653000000000004</v>
      </c>
      <c r="L237" s="51">
        <f t="shared" si="87"/>
        <v>8739297</v>
      </c>
      <c r="M237" s="65"/>
      <c r="N237" s="65"/>
      <c r="O237" s="51">
        <f>L237-M237+N237</f>
        <v>8739297</v>
      </c>
      <c r="P237" s="53">
        <f t="shared" si="95"/>
        <v>730355.53500000003</v>
      </c>
      <c r="Q237" s="54"/>
      <c r="R237" s="53">
        <f t="shared" si="84"/>
        <v>730355.53500000003</v>
      </c>
      <c r="S237" s="53">
        <f>O237-R237-N237</f>
        <v>8008941.4649999999</v>
      </c>
      <c r="T237" s="41"/>
    </row>
    <row r="238" spans="1:20" ht="15.75">
      <c r="A238" s="21">
        <v>22</v>
      </c>
      <c r="B238" s="39" t="s">
        <v>21</v>
      </c>
      <c r="C238" s="40" t="s">
        <v>41</v>
      </c>
      <c r="D238" s="55" t="s">
        <v>27</v>
      </c>
      <c r="E238" s="24">
        <v>3.99</v>
      </c>
      <c r="F238" s="56"/>
      <c r="G238" s="14"/>
      <c r="H238" s="10"/>
      <c r="I238" s="48">
        <f>(E238+F238+G238)*17/100</f>
        <v>0.67830000000000001</v>
      </c>
      <c r="J238" s="49">
        <f t="shared" ref="J238:J243" si="99">30/100*(E238+F238+G238)</f>
        <v>1.1970000000000001</v>
      </c>
      <c r="K238" s="50">
        <f t="shared" si="86"/>
        <v>5.8653000000000004</v>
      </c>
      <c r="L238" s="51">
        <f t="shared" si="87"/>
        <v>8739297</v>
      </c>
      <c r="M238" s="58"/>
      <c r="N238" s="58"/>
      <c r="O238" s="51">
        <f t="shared" ref="O238:O243" si="100">L238-M238+N238</f>
        <v>8739297</v>
      </c>
      <c r="P238" s="53">
        <f t="shared" si="95"/>
        <v>730355.53500000003</v>
      </c>
      <c r="Q238" s="54"/>
      <c r="R238" s="53">
        <f t="shared" si="84"/>
        <v>730355.53500000003</v>
      </c>
      <c r="S238" s="53">
        <f t="shared" ref="S238:S241" si="101">O238-R238</f>
        <v>8008941.4649999999</v>
      </c>
      <c r="T238" s="41"/>
    </row>
    <row r="239" spans="1:20">
      <c r="A239" s="21">
        <v>23</v>
      </c>
      <c r="B239" s="39" t="s">
        <v>21</v>
      </c>
      <c r="C239" s="40" t="s">
        <v>42</v>
      </c>
      <c r="D239" s="55" t="s">
        <v>27</v>
      </c>
      <c r="E239" s="24">
        <v>3.99</v>
      </c>
      <c r="F239" s="56"/>
      <c r="G239" s="14"/>
      <c r="H239" s="24">
        <v>0.1</v>
      </c>
      <c r="I239" s="48">
        <f>(E239+F239+G239)*17/100</f>
        <v>0.67830000000000001</v>
      </c>
      <c r="J239" s="49">
        <f t="shared" si="99"/>
        <v>1.1970000000000001</v>
      </c>
      <c r="K239" s="50">
        <f t="shared" si="86"/>
        <v>5.9653</v>
      </c>
      <c r="L239" s="51">
        <f t="shared" si="87"/>
        <v>8888297</v>
      </c>
      <c r="M239" s="58"/>
      <c r="N239" s="58"/>
      <c r="O239" s="51">
        <f t="shared" si="100"/>
        <v>8888297</v>
      </c>
      <c r="P239" s="53">
        <f t="shared" si="95"/>
        <v>730355.53500000003</v>
      </c>
      <c r="Q239" s="54"/>
      <c r="R239" s="53">
        <f t="shared" si="84"/>
        <v>730355.53500000003</v>
      </c>
      <c r="S239" s="53">
        <f t="shared" si="101"/>
        <v>8157941.4649999999</v>
      </c>
      <c r="T239" s="41"/>
    </row>
    <row r="240" spans="1:20" ht="15.75">
      <c r="A240" s="21">
        <v>24</v>
      </c>
      <c r="B240" s="39" t="s">
        <v>21</v>
      </c>
      <c r="C240" s="26" t="s">
        <v>74</v>
      </c>
      <c r="D240" s="55" t="s">
        <v>27</v>
      </c>
      <c r="E240" s="24">
        <v>3.99</v>
      </c>
      <c r="F240" s="56"/>
      <c r="G240" s="14"/>
      <c r="H240" s="10"/>
      <c r="I240" s="66">
        <f>(E240+F240+G240)*16/100</f>
        <v>0.63840000000000008</v>
      </c>
      <c r="J240" s="67">
        <f t="shared" si="99"/>
        <v>1.1970000000000001</v>
      </c>
      <c r="K240" s="68">
        <f t="shared" si="86"/>
        <v>5.8254000000000001</v>
      </c>
      <c r="L240" s="69">
        <f t="shared" si="87"/>
        <v>8679846</v>
      </c>
      <c r="M240" s="70"/>
      <c r="N240" s="70"/>
      <c r="O240" s="69">
        <f t="shared" si="100"/>
        <v>8679846</v>
      </c>
      <c r="P240" s="71">
        <f t="shared" si="95"/>
        <v>724113.17999999993</v>
      </c>
      <c r="Q240" s="54"/>
      <c r="R240" s="71">
        <f t="shared" si="84"/>
        <v>724113.17999999993</v>
      </c>
      <c r="S240" s="71">
        <f t="shared" si="101"/>
        <v>7955732.8200000003</v>
      </c>
      <c r="T240" s="41"/>
    </row>
    <row r="241" spans="1:22" ht="17.25" customHeight="1">
      <c r="A241" s="21">
        <v>25</v>
      </c>
      <c r="B241" s="72" t="s">
        <v>21</v>
      </c>
      <c r="C241" s="26" t="s">
        <v>43</v>
      </c>
      <c r="D241" s="55" t="s">
        <v>27</v>
      </c>
      <c r="E241" s="24">
        <v>3.99</v>
      </c>
      <c r="F241" s="56"/>
      <c r="G241" s="14"/>
      <c r="H241" s="10"/>
      <c r="I241" s="66">
        <f>(E241+F241+G241)*16/100</f>
        <v>0.63840000000000008</v>
      </c>
      <c r="J241" s="67">
        <f t="shared" si="99"/>
        <v>1.1970000000000001</v>
      </c>
      <c r="K241" s="68">
        <f t="shared" si="86"/>
        <v>5.8254000000000001</v>
      </c>
      <c r="L241" s="69">
        <f t="shared" si="87"/>
        <v>8679846</v>
      </c>
      <c r="M241" s="70"/>
      <c r="N241" s="70"/>
      <c r="O241" s="69">
        <f t="shared" si="100"/>
        <v>8679846</v>
      </c>
      <c r="P241" s="71">
        <f t="shared" si="95"/>
        <v>724113.17999999993</v>
      </c>
      <c r="Q241" s="54"/>
      <c r="R241" s="71">
        <f t="shared" si="84"/>
        <v>724113.17999999993</v>
      </c>
      <c r="S241" s="71">
        <f t="shared" si="101"/>
        <v>7955732.8200000003</v>
      </c>
      <c r="T241" s="41"/>
    </row>
    <row r="242" spans="1:22" ht="15.75">
      <c r="A242" s="21">
        <v>26</v>
      </c>
      <c r="B242" s="39" t="s">
        <v>21</v>
      </c>
      <c r="C242" s="26" t="s">
        <v>58</v>
      </c>
      <c r="D242" s="55" t="s">
        <v>27</v>
      </c>
      <c r="E242" s="24">
        <v>3.33</v>
      </c>
      <c r="F242" s="56"/>
      <c r="G242" s="14"/>
      <c r="H242" s="10"/>
      <c r="I242" s="48">
        <f>(E242+F242+G242)*11%</f>
        <v>0.36630000000000001</v>
      </c>
      <c r="J242" s="49">
        <f t="shared" si="99"/>
        <v>0.999</v>
      </c>
      <c r="K242" s="50">
        <f t="shared" si="86"/>
        <v>4.6952999999999996</v>
      </c>
      <c r="L242" s="51">
        <f t="shared" si="87"/>
        <v>6995996.9999999991</v>
      </c>
      <c r="M242" s="58"/>
      <c r="N242" s="58"/>
      <c r="O242" s="51">
        <f t="shared" si="100"/>
        <v>6995996.9999999991</v>
      </c>
      <c r="P242" s="53">
        <f t="shared" si="95"/>
        <v>578286.13500000001</v>
      </c>
      <c r="Q242" s="54"/>
      <c r="R242" s="53">
        <f t="shared" si="84"/>
        <v>578286.13500000001</v>
      </c>
      <c r="S242" s="53">
        <f>O242-R242</f>
        <v>6417710.8649999993</v>
      </c>
      <c r="T242" s="41"/>
    </row>
    <row r="243" spans="1:22" ht="15.75">
      <c r="A243" s="21">
        <v>27</v>
      </c>
      <c r="B243" s="39" t="s">
        <v>21</v>
      </c>
      <c r="C243" s="40" t="s">
        <v>44</v>
      </c>
      <c r="D243" s="55" t="s">
        <v>27</v>
      </c>
      <c r="E243" s="24">
        <v>3.99</v>
      </c>
      <c r="F243" s="56"/>
      <c r="G243" s="14"/>
      <c r="H243" s="10"/>
      <c r="I243" s="48">
        <f>(E243+F243+G243)*15/100</f>
        <v>0.59850000000000003</v>
      </c>
      <c r="J243" s="49">
        <f t="shared" si="99"/>
        <v>1.1970000000000001</v>
      </c>
      <c r="K243" s="50">
        <f t="shared" si="86"/>
        <v>5.7854999999999999</v>
      </c>
      <c r="L243" s="51">
        <f t="shared" si="87"/>
        <v>8620395</v>
      </c>
      <c r="M243" s="58"/>
      <c r="N243" s="58"/>
      <c r="O243" s="51">
        <f t="shared" si="100"/>
        <v>8620395</v>
      </c>
      <c r="P243" s="53">
        <f t="shared" si="95"/>
        <v>717870.82499999995</v>
      </c>
      <c r="Q243" s="54"/>
      <c r="R243" s="53">
        <f t="shared" si="84"/>
        <v>717870.82499999995</v>
      </c>
      <c r="S243" s="53">
        <f t="shared" ref="S243:S246" si="102">O243-R243</f>
        <v>7902524.1749999998</v>
      </c>
      <c r="T243" s="41"/>
    </row>
    <row r="244" spans="1:22" ht="15.75">
      <c r="A244" s="21">
        <v>28</v>
      </c>
      <c r="B244" s="39" t="s">
        <v>53</v>
      </c>
      <c r="C244" s="73" t="s">
        <v>75</v>
      </c>
      <c r="D244" s="55" t="s">
        <v>83</v>
      </c>
      <c r="E244" s="74">
        <v>3.46</v>
      </c>
      <c r="F244" s="56">
        <v>0.15</v>
      </c>
      <c r="G244" s="14"/>
      <c r="H244" s="10"/>
      <c r="I244" s="48"/>
      <c r="J244" s="49"/>
      <c r="K244" s="50">
        <f t="shared" si="86"/>
        <v>3.61</v>
      </c>
      <c r="L244" s="51">
        <f t="shared" si="87"/>
        <v>5378900</v>
      </c>
      <c r="M244" s="65">
        <f>L244</f>
        <v>5378900</v>
      </c>
      <c r="N244" s="75"/>
      <c r="O244" s="51">
        <f>L244-M244+N244</f>
        <v>0</v>
      </c>
      <c r="P244" s="53">
        <f t="shared" si="95"/>
        <v>0</v>
      </c>
      <c r="Q244" s="54"/>
      <c r="R244" s="53">
        <f t="shared" si="84"/>
        <v>0</v>
      </c>
      <c r="S244" s="76">
        <f t="shared" si="102"/>
        <v>0</v>
      </c>
      <c r="T244" s="41" t="s">
        <v>166</v>
      </c>
    </row>
    <row r="245" spans="1:22" ht="16.5">
      <c r="A245" s="21">
        <v>29</v>
      </c>
      <c r="B245" s="39" t="s">
        <v>89</v>
      </c>
      <c r="C245" s="42" t="s">
        <v>46</v>
      </c>
      <c r="D245" s="55" t="s">
        <v>27</v>
      </c>
      <c r="E245" s="24">
        <v>4</v>
      </c>
      <c r="F245" s="24"/>
      <c r="G245" s="14"/>
      <c r="H245" s="10"/>
      <c r="I245" s="48">
        <f>(E245+F245+G245)*13%</f>
        <v>0.52</v>
      </c>
      <c r="J245" s="49">
        <f t="shared" ref="J245:J246" si="103">30/100*(E245+F245+G245)</f>
        <v>1.2</v>
      </c>
      <c r="K245" s="50">
        <f t="shared" si="86"/>
        <v>5.72</v>
      </c>
      <c r="L245" s="51">
        <f t="shared" si="87"/>
        <v>8522800</v>
      </c>
      <c r="M245" s="58"/>
      <c r="N245" s="58"/>
      <c r="O245" s="51">
        <f t="shared" ref="O245:O253" si="104">L245-M245+N245</f>
        <v>8522800</v>
      </c>
      <c r="P245" s="53">
        <f t="shared" si="95"/>
        <v>707153.99999999988</v>
      </c>
      <c r="Q245" s="54"/>
      <c r="R245" s="53">
        <f t="shared" si="84"/>
        <v>707153.99999999988</v>
      </c>
      <c r="S245" s="76">
        <f t="shared" si="102"/>
        <v>7815646</v>
      </c>
      <c r="T245" s="41"/>
    </row>
    <row r="246" spans="1:22" ht="15.75">
      <c r="A246" s="21">
        <v>30</v>
      </c>
      <c r="B246" s="39" t="s">
        <v>21</v>
      </c>
      <c r="C246" s="40" t="s">
        <v>47</v>
      </c>
      <c r="D246" s="55" t="s">
        <v>27</v>
      </c>
      <c r="E246" s="24">
        <v>3.99</v>
      </c>
      <c r="F246" s="24"/>
      <c r="G246" s="14"/>
      <c r="H246" s="10"/>
      <c r="I246" s="48">
        <f>(E246+F246+G246)*15%</f>
        <v>0.59850000000000003</v>
      </c>
      <c r="J246" s="49">
        <f t="shared" si="103"/>
        <v>1.1970000000000001</v>
      </c>
      <c r="K246" s="50">
        <f t="shared" si="86"/>
        <v>5.7854999999999999</v>
      </c>
      <c r="L246" s="51">
        <f t="shared" si="87"/>
        <v>8620395</v>
      </c>
      <c r="M246" s="53"/>
      <c r="N246" s="58"/>
      <c r="O246" s="51">
        <f t="shared" si="104"/>
        <v>8620395</v>
      </c>
      <c r="P246" s="53">
        <f t="shared" si="95"/>
        <v>717870.82499999995</v>
      </c>
      <c r="Q246" s="54"/>
      <c r="R246" s="53">
        <f t="shared" si="84"/>
        <v>717870.82499999995</v>
      </c>
      <c r="S246" s="76">
        <f t="shared" si="102"/>
        <v>7902524.1749999998</v>
      </c>
      <c r="T246" s="41"/>
    </row>
    <row r="247" spans="1:22" ht="15.75">
      <c r="A247" s="21">
        <v>31</v>
      </c>
      <c r="B247" s="39" t="s">
        <v>21</v>
      </c>
      <c r="C247" s="40" t="s">
        <v>48</v>
      </c>
      <c r="D247" s="55" t="s">
        <v>27</v>
      </c>
      <c r="E247" s="24">
        <v>3.66</v>
      </c>
      <c r="F247" s="24"/>
      <c r="G247" s="14"/>
      <c r="H247" s="10"/>
      <c r="I247" s="48">
        <f>(E247+F247+G247)*13%</f>
        <v>0.47580000000000006</v>
      </c>
      <c r="J247" s="49">
        <f>30/100*(E247+F247+G247)</f>
        <v>1.0980000000000001</v>
      </c>
      <c r="K247" s="50">
        <f t="shared" si="86"/>
        <v>5.2338000000000005</v>
      </c>
      <c r="L247" s="51">
        <f t="shared" si="87"/>
        <v>7798362.0000000009</v>
      </c>
      <c r="M247" s="53"/>
      <c r="N247" s="58"/>
      <c r="O247" s="51">
        <f t="shared" si="104"/>
        <v>7798362.0000000009</v>
      </c>
      <c r="P247" s="53">
        <f t="shared" si="95"/>
        <v>647045.91</v>
      </c>
      <c r="Q247" s="54"/>
      <c r="R247" s="53">
        <f t="shared" si="84"/>
        <v>647045.91</v>
      </c>
      <c r="S247" s="76">
        <f>O247-R247</f>
        <v>7151316.0900000008</v>
      </c>
      <c r="T247" s="41"/>
    </row>
    <row r="248" spans="1:22" ht="15.75">
      <c r="A248" s="21">
        <v>32</v>
      </c>
      <c r="B248" s="39" t="s">
        <v>21</v>
      </c>
      <c r="C248" s="40" t="s">
        <v>92</v>
      </c>
      <c r="D248" s="55" t="s">
        <v>27</v>
      </c>
      <c r="E248" s="24">
        <v>3.33</v>
      </c>
      <c r="F248" s="24"/>
      <c r="G248" s="14"/>
      <c r="H248" s="10"/>
      <c r="I248" s="48">
        <f>(E248+F248+G248)*10%</f>
        <v>0.33300000000000002</v>
      </c>
      <c r="J248" s="49">
        <f>30/100*(E248+F248+G248)</f>
        <v>0.999</v>
      </c>
      <c r="K248" s="50">
        <f>E248+F248+G248+H248+I248+J248</f>
        <v>4.6619999999999999</v>
      </c>
      <c r="L248" s="51">
        <f t="shared" si="87"/>
        <v>6946380</v>
      </c>
      <c r="M248" s="53"/>
      <c r="N248" s="53"/>
      <c r="O248" s="51">
        <f t="shared" si="104"/>
        <v>6946380</v>
      </c>
      <c r="P248" s="53">
        <f>((E248+F248+G248+I248)*1490000)*10.5%</f>
        <v>573076.35</v>
      </c>
      <c r="Q248" s="54"/>
      <c r="R248" s="53">
        <f t="shared" si="84"/>
        <v>573076.35</v>
      </c>
      <c r="S248" s="76">
        <f t="shared" ref="S248:S249" si="105">O248-R248</f>
        <v>6373303.6500000004</v>
      </c>
      <c r="T248" s="41"/>
    </row>
    <row r="249" spans="1:22" ht="15.75">
      <c r="A249" s="21">
        <v>33</v>
      </c>
      <c r="B249" s="39" t="s">
        <v>21</v>
      </c>
      <c r="C249" s="40" t="s">
        <v>93</v>
      </c>
      <c r="D249" s="55" t="s">
        <v>27</v>
      </c>
      <c r="E249" s="24">
        <v>3.66</v>
      </c>
      <c r="F249" s="24"/>
      <c r="G249" s="14"/>
      <c r="H249" s="10"/>
      <c r="I249" s="48">
        <f>(E249+F249+G249)*11%</f>
        <v>0.40260000000000001</v>
      </c>
      <c r="J249" s="49">
        <f>30/100*(E249+F249+G249)</f>
        <v>1.0980000000000001</v>
      </c>
      <c r="K249" s="50">
        <f>E249+F249+G249+H249+I249+J249</f>
        <v>5.1605999999999996</v>
      </c>
      <c r="L249" s="51">
        <f t="shared" si="87"/>
        <v>7689293.9999999991</v>
      </c>
      <c r="M249" s="53"/>
      <c r="N249" s="53"/>
      <c r="O249" s="51">
        <f t="shared" si="104"/>
        <v>7689293.9999999991</v>
      </c>
      <c r="P249" s="53">
        <f>((E249+F249+G249+I249)*1490000)*10.5%</f>
        <v>635593.77</v>
      </c>
      <c r="Q249" s="54"/>
      <c r="R249" s="53">
        <f t="shared" si="84"/>
        <v>635593.77</v>
      </c>
      <c r="S249" s="76">
        <f t="shared" si="105"/>
        <v>7053700.2299999986</v>
      </c>
      <c r="T249" s="41"/>
    </row>
    <row r="250" spans="1:22" ht="16.5">
      <c r="A250" s="21">
        <v>34</v>
      </c>
      <c r="B250" s="39" t="s">
        <v>94</v>
      </c>
      <c r="C250" s="42" t="s">
        <v>95</v>
      </c>
      <c r="D250" s="77" t="s">
        <v>27</v>
      </c>
      <c r="E250" s="24">
        <v>3</v>
      </c>
      <c r="F250" s="24"/>
      <c r="G250" s="14"/>
      <c r="H250" s="11"/>
      <c r="I250" s="48"/>
      <c r="J250" s="49">
        <f>30/100*(E250+F250+G250)</f>
        <v>0.89999999999999991</v>
      </c>
      <c r="K250" s="50">
        <f>E250+F250+G250+H250+I250+J250</f>
        <v>3.9</v>
      </c>
      <c r="L250" s="51">
        <f>K250*1490000</f>
        <v>5811000</v>
      </c>
      <c r="M250" s="65"/>
      <c r="N250" s="65"/>
      <c r="O250" s="51">
        <f t="shared" si="104"/>
        <v>5811000</v>
      </c>
      <c r="P250" s="53">
        <f t="shared" ref="P250:P251" si="106">((E250+F250+G250+I250)*1490000-M250)*10.5%</f>
        <v>469350</v>
      </c>
      <c r="Q250" s="54"/>
      <c r="R250" s="53">
        <f t="shared" si="84"/>
        <v>469350</v>
      </c>
      <c r="S250" s="76">
        <f>O250-R250-N250</f>
        <v>5341650</v>
      </c>
      <c r="T250" s="41"/>
    </row>
    <row r="251" spans="1:22">
      <c r="A251" s="21">
        <v>35</v>
      </c>
      <c r="B251" s="39" t="s">
        <v>23</v>
      </c>
      <c r="C251" s="40" t="s">
        <v>49</v>
      </c>
      <c r="D251" s="55" t="s">
        <v>45</v>
      </c>
      <c r="E251" s="24">
        <v>3.34</v>
      </c>
      <c r="F251" s="24"/>
      <c r="G251" s="14"/>
      <c r="H251" s="24">
        <v>0.2</v>
      </c>
      <c r="I251" s="48"/>
      <c r="J251" s="49"/>
      <c r="K251" s="50">
        <f t="shared" ref="K251" si="107">E251+F251+G251+H251+I251+J251</f>
        <v>3.54</v>
      </c>
      <c r="L251" s="51">
        <f t="shared" ref="L251" si="108">K251*1490000</f>
        <v>5274600</v>
      </c>
      <c r="M251" s="53"/>
      <c r="N251" s="58"/>
      <c r="O251" s="51">
        <f t="shared" si="104"/>
        <v>5274600</v>
      </c>
      <c r="P251" s="53">
        <f t="shared" si="106"/>
        <v>522543</v>
      </c>
      <c r="Q251" s="54"/>
      <c r="R251" s="53">
        <f t="shared" si="84"/>
        <v>522543</v>
      </c>
      <c r="S251" s="76">
        <f>O251-R251</f>
        <v>4752057</v>
      </c>
      <c r="T251" s="41"/>
    </row>
    <row r="252" spans="1:22">
      <c r="A252" s="21">
        <v>36</v>
      </c>
      <c r="B252" s="39" t="s">
        <v>52</v>
      </c>
      <c r="C252" s="40" t="s">
        <v>50</v>
      </c>
      <c r="D252" s="77" t="s">
        <v>45</v>
      </c>
      <c r="E252" s="24">
        <v>2.86</v>
      </c>
      <c r="F252" s="24"/>
      <c r="G252" s="14"/>
      <c r="H252" s="24">
        <v>0.2</v>
      </c>
      <c r="I252" s="48"/>
      <c r="J252" s="49"/>
      <c r="K252" s="50">
        <f>E252+F252+G252+H252+I252+J252</f>
        <v>3.06</v>
      </c>
      <c r="L252" s="51">
        <f>K252*1490000</f>
        <v>4559400</v>
      </c>
      <c r="M252" s="53"/>
      <c r="N252" s="51"/>
      <c r="O252" s="51">
        <f t="shared" si="104"/>
        <v>4559400</v>
      </c>
      <c r="P252" s="53">
        <f>((E252+F252+G252+I252)*1490000)*10.5%</f>
        <v>447447</v>
      </c>
      <c r="Q252" s="53"/>
      <c r="R252" s="53">
        <f t="shared" si="84"/>
        <v>447447</v>
      </c>
      <c r="S252" s="76">
        <f>O252-R252</f>
        <v>4111953</v>
      </c>
      <c r="T252" s="41"/>
    </row>
    <row r="253" spans="1:22" ht="15.75">
      <c r="A253" s="21">
        <v>37</v>
      </c>
      <c r="B253" s="39" t="s">
        <v>54</v>
      </c>
      <c r="C253" s="40" t="s">
        <v>51</v>
      </c>
      <c r="D253" s="77" t="s">
        <v>96</v>
      </c>
      <c r="E253" s="24"/>
      <c r="F253" s="24"/>
      <c r="G253" s="14"/>
      <c r="H253" s="11"/>
      <c r="I253" s="48"/>
      <c r="J253" s="49"/>
      <c r="K253" s="50"/>
      <c r="L253" s="51">
        <v>3920000</v>
      </c>
      <c r="M253" s="53"/>
      <c r="N253" s="58"/>
      <c r="O253" s="51">
        <f t="shared" si="104"/>
        <v>3920000</v>
      </c>
      <c r="P253" s="53">
        <f>O253*10.5%</f>
        <v>411600</v>
      </c>
      <c r="Q253" s="53"/>
      <c r="R253" s="53">
        <f t="shared" si="84"/>
        <v>411600</v>
      </c>
      <c r="S253" s="76">
        <f>O253-R253</f>
        <v>3508400</v>
      </c>
      <c r="T253" s="2"/>
    </row>
    <row r="254" spans="1:22" ht="15.75">
      <c r="A254" s="2"/>
      <c r="B254" s="2"/>
      <c r="C254" s="3" t="s">
        <v>14</v>
      </c>
      <c r="D254" s="5"/>
      <c r="E254" s="27">
        <f t="shared" ref="E254" si="109">SUM(E217:E253)</f>
        <v>149.36999999999995</v>
      </c>
      <c r="F254" s="78">
        <f>SUM(F217:F253)</f>
        <v>2.1999999999999997</v>
      </c>
      <c r="G254" s="27">
        <f>SUM(G217:G253)</f>
        <v>0.84660000000000002</v>
      </c>
      <c r="H254" s="78">
        <f>SUM(H217:H253)</f>
        <v>0.60000000000000009</v>
      </c>
      <c r="I254" s="27">
        <f>SUM(I217:I253)</f>
        <v>26.230733999999998</v>
      </c>
      <c r="J254" s="27">
        <f t="shared" ref="J254" si="110">SUM(J217:J253)</f>
        <v>41.440980000000003</v>
      </c>
      <c r="K254" s="27">
        <f>SUM(K217:K253)</f>
        <v>220.68831400000008</v>
      </c>
      <c r="L254" s="28">
        <f t="shared" ref="L254:O254" si="111">SUM(L217:L253)</f>
        <v>332745587.86000001</v>
      </c>
      <c r="M254" s="75">
        <f t="shared" si="111"/>
        <v>5378900</v>
      </c>
      <c r="N254" s="75">
        <f t="shared" si="111"/>
        <v>0</v>
      </c>
      <c r="O254" s="28">
        <f t="shared" si="111"/>
        <v>327366687.86000001</v>
      </c>
      <c r="P254" s="28">
        <f>SUM(P217:P253)</f>
        <v>27696974.784300003</v>
      </c>
      <c r="Q254" s="28">
        <f>SUM(Q217:Q253)</f>
        <v>0</v>
      </c>
      <c r="R254" s="28">
        <f t="shared" ref="R254" si="112">SUM(R217:R253)</f>
        <v>27696974.784300003</v>
      </c>
      <c r="S254" s="32">
        <f>SUM(S217:S253)</f>
        <v>299669713.07570004</v>
      </c>
      <c r="T254" s="2"/>
    </row>
    <row r="255" spans="1:22">
      <c r="E255" s="9"/>
      <c r="F255" s="9"/>
      <c r="G255" s="9"/>
      <c r="H255" s="9"/>
      <c r="I255" s="19"/>
      <c r="J255" s="17"/>
    </row>
    <row r="256" spans="1:22">
      <c r="A256" s="1" t="s">
        <v>100</v>
      </c>
      <c r="D256" s="210" t="s">
        <v>182</v>
      </c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V256" s="8">
        <f>S254-S185</f>
        <v>899047.4047999382</v>
      </c>
    </row>
    <row r="257" spans="1:19" ht="15.75">
      <c r="A257" s="6"/>
      <c r="E257" s="9"/>
      <c r="F257" s="9"/>
      <c r="G257" s="9"/>
      <c r="H257" s="9"/>
      <c r="I257" s="19"/>
      <c r="J257" s="17"/>
      <c r="S257" s="15"/>
    </row>
    <row r="258" spans="1:19">
      <c r="A258" s="7"/>
      <c r="B258" s="7"/>
      <c r="C258" s="7"/>
      <c r="D258" s="211"/>
      <c r="E258" s="212"/>
      <c r="F258" s="212"/>
      <c r="G258" s="37"/>
      <c r="H258" s="37"/>
      <c r="I258" s="19"/>
      <c r="J258" s="17"/>
      <c r="N258" s="43"/>
      <c r="O258" s="43"/>
      <c r="P258" s="213" t="s">
        <v>177</v>
      </c>
      <c r="Q258" s="213"/>
      <c r="R258" s="213"/>
      <c r="S258" s="213"/>
    </row>
    <row r="259" spans="1:19">
      <c r="A259" s="214" t="s">
        <v>77</v>
      </c>
      <c r="B259" s="214"/>
      <c r="C259" s="214"/>
      <c r="D259" s="214"/>
      <c r="E259" s="214"/>
      <c r="F259" s="9"/>
      <c r="G259" s="44"/>
      <c r="H259" s="44"/>
      <c r="I259" s="19"/>
      <c r="J259" s="214" t="s">
        <v>79</v>
      </c>
      <c r="K259" s="214"/>
      <c r="L259" s="214"/>
      <c r="M259" s="214"/>
      <c r="P259" s="215" t="s">
        <v>65</v>
      </c>
      <c r="Q259" s="215"/>
      <c r="R259" s="215"/>
      <c r="S259" s="215"/>
    </row>
    <row r="260" spans="1:19">
      <c r="A260" s="216" t="s">
        <v>78</v>
      </c>
      <c r="B260" s="216"/>
      <c r="C260" s="216"/>
      <c r="D260" s="216"/>
      <c r="E260" s="9"/>
      <c r="F260" s="9"/>
      <c r="G260" s="9"/>
      <c r="H260" s="9"/>
      <c r="I260" s="19"/>
      <c r="J260" s="216" t="s">
        <v>80</v>
      </c>
      <c r="K260" s="216"/>
      <c r="L260" s="216"/>
      <c r="P260" s="217" t="s">
        <v>66</v>
      </c>
      <c r="Q260" s="217"/>
      <c r="R260" s="217"/>
      <c r="S260" s="217"/>
    </row>
    <row r="261" spans="1:19">
      <c r="C261">
        <f>1202923147-200-904250697</f>
        <v>298672250</v>
      </c>
      <c r="E261" s="9"/>
      <c r="F261" s="9"/>
      <c r="G261" s="9"/>
      <c r="H261" s="9"/>
      <c r="I261" s="19"/>
      <c r="J261" s="17"/>
    </row>
    <row r="262" spans="1:19" ht="26.25" customHeight="1">
      <c r="C262" s="79">
        <f>45664800+46564800+48754800</f>
        <v>140984400</v>
      </c>
      <c r="E262" s="9"/>
      <c r="F262" s="9"/>
      <c r="G262" s="9"/>
      <c r="H262" s="9"/>
      <c r="I262" s="19"/>
      <c r="J262" s="17"/>
    </row>
    <row r="263" spans="1:19">
      <c r="E263" s="9"/>
      <c r="F263" s="9"/>
      <c r="G263" s="9"/>
      <c r="H263" s="9"/>
      <c r="I263" s="19"/>
      <c r="J263" s="17"/>
      <c r="L263" s="12"/>
      <c r="P263" s="16"/>
    </row>
    <row r="264" spans="1:19">
      <c r="E264" s="9"/>
      <c r="F264" s="9"/>
      <c r="G264" s="9"/>
      <c r="H264" s="9"/>
      <c r="I264" s="19"/>
      <c r="J264" s="17"/>
    </row>
    <row r="265" spans="1:19" ht="15.75">
      <c r="B265" s="209" t="s">
        <v>97</v>
      </c>
      <c r="C265" s="209"/>
      <c r="D265" s="209"/>
      <c r="E265" s="9"/>
      <c r="F265" s="9"/>
      <c r="G265" s="9"/>
      <c r="H265" s="9"/>
      <c r="I265" s="19"/>
      <c r="J265" s="209" t="s">
        <v>59</v>
      </c>
      <c r="K265" s="209"/>
      <c r="L265" s="209"/>
      <c r="M265" s="209"/>
      <c r="P265" s="209" t="s">
        <v>81</v>
      </c>
      <c r="Q265" s="209"/>
      <c r="R265" s="209"/>
      <c r="S265" s="209"/>
    </row>
    <row r="274" spans="1:20" ht="15.75">
      <c r="A274" s="227" t="s">
        <v>55</v>
      </c>
      <c r="B274" s="227"/>
      <c r="C274" s="227"/>
      <c r="D274" s="227"/>
      <c r="E274" s="227"/>
      <c r="F274" s="227"/>
      <c r="G274" s="227"/>
      <c r="H274" s="227"/>
      <c r="I274" s="19"/>
      <c r="J274" s="17"/>
      <c r="Q274" s="228" t="s">
        <v>235</v>
      </c>
      <c r="R274" s="228"/>
      <c r="S274" s="228"/>
    </row>
    <row r="275" spans="1:20">
      <c r="A275" s="229" t="s">
        <v>67</v>
      </c>
      <c r="B275" s="229"/>
      <c r="C275" s="229"/>
      <c r="D275" s="229"/>
      <c r="E275" s="229"/>
      <c r="F275" s="229"/>
      <c r="G275" s="229"/>
      <c r="H275" s="9"/>
      <c r="I275" s="19"/>
      <c r="J275" s="17"/>
      <c r="R275" s="230" t="s">
        <v>68</v>
      </c>
      <c r="S275" s="230"/>
    </row>
    <row r="276" spans="1:20" ht="15.75">
      <c r="A276" s="227" t="s">
        <v>56</v>
      </c>
      <c r="B276" s="227"/>
      <c r="C276" s="227"/>
      <c r="D276" s="227"/>
      <c r="E276" s="227"/>
      <c r="F276" s="227"/>
      <c r="G276" s="227"/>
      <c r="H276" s="9"/>
      <c r="I276" s="19"/>
      <c r="J276" s="17"/>
      <c r="R276" s="29" t="s">
        <v>63</v>
      </c>
    </row>
    <row r="277" spans="1:20" ht="20.25">
      <c r="A277" s="231" t="s">
        <v>76</v>
      </c>
      <c r="B277" s="231"/>
      <c r="C277" s="231"/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</row>
    <row r="278" spans="1:20" ht="18.75">
      <c r="A278" s="232" t="s">
        <v>234</v>
      </c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</row>
    <row r="279" spans="1:20">
      <c r="A279" s="225" t="s">
        <v>0</v>
      </c>
      <c r="B279" s="226" t="s">
        <v>1</v>
      </c>
      <c r="C279" s="226" t="s">
        <v>2</v>
      </c>
      <c r="D279" s="226" t="s">
        <v>3</v>
      </c>
      <c r="E279" s="226" t="s">
        <v>20</v>
      </c>
      <c r="F279" s="226"/>
      <c r="G279" s="226"/>
      <c r="H279" s="226"/>
      <c r="I279" s="226"/>
      <c r="J279" s="226"/>
      <c r="K279" s="226"/>
      <c r="L279" s="226"/>
      <c r="M279" s="233" t="s">
        <v>9</v>
      </c>
      <c r="N279" s="233" t="s">
        <v>11</v>
      </c>
      <c r="O279" s="226" t="s">
        <v>12</v>
      </c>
      <c r="P279" s="234" t="s">
        <v>13</v>
      </c>
      <c r="Q279" s="235"/>
      <c r="R279" s="236"/>
      <c r="S279" s="226" t="s">
        <v>15</v>
      </c>
      <c r="T279" s="218" t="s">
        <v>57</v>
      </c>
    </row>
    <row r="280" spans="1:20">
      <c r="A280" s="225"/>
      <c r="B280" s="226"/>
      <c r="C280" s="226"/>
      <c r="D280" s="226"/>
      <c r="E280" s="221" t="s">
        <v>4</v>
      </c>
      <c r="F280" s="222" t="s">
        <v>5</v>
      </c>
      <c r="G280" s="223" t="s">
        <v>6</v>
      </c>
      <c r="H280" s="223"/>
      <c r="I280" s="223"/>
      <c r="J280" s="223"/>
      <c r="K280" s="224" t="s">
        <v>7</v>
      </c>
      <c r="L280" s="224" t="s">
        <v>8</v>
      </c>
      <c r="M280" s="233"/>
      <c r="N280" s="233"/>
      <c r="O280" s="226"/>
      <c r="P280" s="225" t="s">
        <v>10</v>
      </c>
      <c r="Q280" s="226" t="s">
        <v>85</v>
      </c>
      <c r="R280" s="225" t="s">
        <v>14</v>
      </c>
      <c r="S280" s="226"/>
      <c r="T280" s="219"/>
    </row>
    <row r="281" spans="1:20" ht="63">
      <c r="A281" s="225"/>
      <c r="B281" s="226"/>
      <c r="C281" s="226"/>
      <c r="D281" s="226"/>
      <c r="E281" s="221"/>
      <c r="F281" s="222"/>
      <c r="G281" s="136" t="s">
        <v>26</v>
      </c>
      <c r="H281" s="136" t="s">
        <v>86</v>
      </c>
      <c r="I281" s="20" t="s">
        <v>24</v>
      </c>
      <c r="J281" s="18" t="s">
        <v>25</v>
      </c>
      <c r="K281" s="224"/>
      <c r="L281" s="224"/>
      <c r="M281" s="233"/>
      <c r="N281" s="233"/>
      <c r="O281" s="226"/>
      <c r="P281" s="225"/>
      <c r="Q281" s="226"/>
      <c r="R281" s="225"/>
      <c r="S281" s="226"/>
      <c r="T281" s="220"/>
    </row>
    <row r="282" spans="1:20">
      <c r="A282" s="4" t="s">
        <v>16</v>
      </c>
      <c r="B282" s="4" t="s">
        <v>17</v>
      </c>
      <c r="C282" s="4" t="s">
        <v>18</v>
      </c>
      <c r="D282" s="4" t="s">
        <v>19</v>
      </c>
      <c r="E282" s="13">
        <v>1</v>
      </c>
      <c r="F282" s="13">
        <v>2</v>
      </c>
      <c r="G282" s="13">
        <v>3</v>
      </c>
      <c r="H282" s="13">
        <v>4</v>
      </c>
      <c r="I282" s="13">
        <v>5</v>
      </c>
      <c r="J282" s="23">
        <v>6</v>
      </c>
      <c r="K282" s="4">
        <v>7</v>
      </c>
      <c r="L282" s="4">
        <v>8</v>
      </c>
      <c r="M282" s="4">
        <v>9</v>
      </c>
      <c r="N282" s="4">
        <v>10</v>
      </c>
      <c r="O282" s="30" t="s">
        <v>87</v>
      </c>
      <c r="P282" s="30">
        <v>12</v>
      </c>
      <c r="Q282" s="30">
        <v>13</v>
      </c>
      <c r="R282" s="30">
        <v>14</v>
      </c>
      <c r="S282" s="30" t="s">
        <v>88</v>
      </c>
      <c r="T282" s="2"/>
    </row>
    <row r="283" spans="1:20" ht="17.25" customHeight="1">
      <c r="A283" s="21">
        <v>1</v>
      </c>
      <c r="B283" s="39" t="s">
        <v>89</v>
      </c>
      <c r="C283" s="42" t="s">
        <v>60</v>
      </c>
      <c r="D283" s="46" t="s">
        <v>61</v>
      </c>
      <c r="E283" s="47">
        <v>5.0199999999999996</v>
      </c>
      <c r="F283" s="47">
        <v>0.35</v>
      </c>
      <c r="G283" s="25"/>
      <c r="H283" s="22"/>
      <c r="I283" s="48">
        <f>(E283+F283+G283)*24/100</f>
        <v>1.2887999999999999</v>
      </c>
      <c r="J283" s="49">
        <f>30/100*(E283+F283+G283)</f>
        <v>1.6109999999999998</v>
      </c>
      <c r="K283" s="50">
        <f>E283+F283+G283+H283+I283+J283</f>
        <v>8.2698</v>
      </c>
      <c r="L283" s="51">
        <f>K283*1490000</f>
        <v>12322002</v>
      </c>
      <c r="M283" s="52"/>
      <c r="N283" s="52"/>
      <c r="O283" s="51">
        <f>L283-M283+N283</f>
        <v>12322002</v>
      </c>
      <c r="P283" s="53">
        <f>((E283+F283+G283+I283)*1490000-M283)*9.5%</f>
        <v>942553.14</v>
      </c>
      <c r="Q283" s="54"/>
      <c r="R283" s="53">
        <f>P283+Q283</f>
        <v>942553.14</v>
      </c>
      <c r="S283" s="53">
        <f>O283-R283</f>
        <v>11379448.859999999</v>
      </c>
      <c r="T283" s="41"/>
    </row>
    <row r="284" spans="1:20" ht="17.25" customHeight="1">
      <c r="A284" s="21">
        <v>2</v>
      </c>
      <c r="B284" s="39" t="s">
        <v>21</v>
      </c>
      <c r="C284" s="40" t="s">
        <v>28</v>
      </c>
      <c r="D284" s="55" t="s">
        <v>27</v>
      </c>
      <c r="E284" s="24">
        <v>4.9800000000000004</v>
      </c>
      <c r="F284" s="56"/>
      <c r="G284" s="57">
        <f>E284*6%</f>
        <v>0.29880000000000001</v>
      </c>
      <c r="H284" s="10"/>
      <c r="I284" s="48">
        <f>(E284+F284+G284)*26/100</f>
        <v>1.3724880000000002</v>
      </c>
      <c r="J284" s="49">
        <f>30/100*(E284+F284+G284)</f>
        <v>1.5836400000000002</v>
      </c>
      <c r="K284" s="50">
        <f>E284+F284+G284+H284+I284+J284</f>
        <v>8.2349280000000018</v>
      </c>
      <c r="L284" s="51">
        <f>K284*1490000</f>
        <v>12270042.720000003</v>
      </c>
      <c r="M284" s="58"/>
      <c r="N284" s="58"/>
      <c r="O284" s="51">
        <f>L284-M284+N284</f>
        <v>12270042.720000003</v>
      </c>
      <c r="P284" s="53">
        <f>((E284+F284+G284+I284)*1490000-M284)*10.5%</f>
        <v>1040594.0076000001</v>
      </c>
      <c r="Q284" s="54"/>
      <c r="R284" s="53">
        <f t="shared" ref="R284:R319" si="113">P284+Q284</f>
        <v>1040594.0076000001</v>
      </c>
      <c r="S284" s="53">
        <f t="shared" ref="S284" si="114">O284-R284</f>
        <v>11229448.712400002</v>
      </c>
      <c r="T284" s="59">
        <v>0.06</v>
      </c>
    </row>
    <row r="285" spans="1:20" ht="17.25" customHeight="1">
      <c r="A285" s="21">
        <v>3</v>
      </c>
      <c r="B285" s="39" t="s">
        <v>22</v>
      </c>
      <c r="C285" s="40" t="s">
        <v>30</v>
      </c>
      <c r="D285" s="55" t="s">
        <v>90</v>
      </c>
      <c r="E285" s="24">
        <v>4.8899999999999997</v>
      </c>
      <c r="F285" s="47">
        <v>0.15</v>
      </c>
      <c r="G285" s="57"/>
      <c r="H285" s="10"/>
      <c r="I285" s="48">
        <f>(E285+F285+G285)*31/100</f>
        <v>1.5624</v>
      </c>
      <c r="J285" s="49">
        <f>30/100*(E285+F285+G285)</f>
        <v>1.512</v>
      </c>
      <c r="K285" s="50">
        <f t="shared" ref="K285:K313" si="115">E285+F285+G285+H285+I285+J285</f>
        <v>8.1143999999999998</v>
      </c>
      <c r="L285" s="51">
        <f t="shared" ref="L285:L315" si="116">K285*1490000</f>
        <v>12090456</v>
      </c>
      <c r="M285" s="58"/>
      <c r="N285" s="58"/>
      <c r="O285" s="51">
        <f t="shared" ref="O285:O302" si="117">L285-M285+N285</f>
        <v>12090456</v>
      </c>
      <c r="P285" s="53">
        <f t="shared" ref="P285:P292" si="118">((E285+F285+G285+I285)*1490000-M285)*10.5%</f>
        <v>1032945.48</v>
      </c>
      <c r="Q285" s="54"/>
      <c r="R285" s="53">
        <f t="shared" si="113"/>
        <v>1032945.48</v>
      </c>
      <c r="S285" s="53">
        <f>O285-R285</f>
        <v>11057510.52</v>
      </c>
      <c r="T285" s="2"/>
    </row>
    <row r="286" spans="1:20" ht="17.25" customHeight="1">
      <c r="A286" s="21">
        <v>4</v>
      </c>
      <c r="B286" s="39" t="s">
        <v>21</v>
      </c>
      <c r="C286" s="40" t="s">
        <v>32</v>
      </c>
      <c r="D286" s="55" t="s">
        <v>29</v>
      </c>
      <c r="E286" s="24">
        <v>4.9800000000000004</v>
      </c>
      <c r="F286" s="47">
        <v>0.2</v>
      </c>
      <c r="G286" s="57">
        <f>E286*5%</f>
        <v>0.24900000000000003</v>
      </c>
      <c r="H286" s="10"/>
      <c r="I286" s="48">
        <f>(E286+F286+G286)*23%</f>
        <v>1.2486700000000002</v>
      </c>
      <c r="J286" s="49">
        <f t="shared" ref="J286" si="119">30/100*(E286+F286+G286)</f>
        <v>1.6287</v>
      </c>
      <c r="K286" s="50">
        <f t="shared" si="115"/>
        <v>8.3063700000000011</v>
      </c>
      <c r="L286" s="51">
        <f t="shared" si="116"/>
        <v>12376491.300000003</v>
      </c>
      <c r="M286" s="58"/>
      <c r="N286" s="58"/>
      <c r="O286" s="51">
        <f t="shared" si="117"/>
        <v>12376491.300000003</v>
      </c>
      <c r="P286" s="53">
        <f t="shared" si="118"/>
        <v>1044721.4715</v>
      </c>
      <c r="Q286" s="54"/>
      <c r="R286" s="53">
        <f t="shared" si="113"/>
        <v>1044721.4715</v>
      </c>
      <c r="S286" s="53">
        <f t="shared" ref="S286:S288" si="120">O286-R286</f>
        <v>11331769.828500003</v>
      </c>
      <c r="T286" s="59">
        <v>0.05</v>
      </c>
    </row>
    <row r="287" spans="1:20" ht="17.25" customHeight="1">
      <c r="A287" s="21">
        <v>5</v>
      </c>
      <c r="B287" s="39" t="s">
        <v>21</v>
      </c>
      <c r="C287" s="40" t="s">
        <v>82</v>
      </c>
      <c r="D287" s="55" t="s">
        <v>29</v>
      </c>
      <c r="E287" s="24">
        <v>4.9800000000000004</v>
      </c>
      <c r="F287" s="47">
        <v>0.2</v>
      </c>
      <c r="G287" s="57">
        <f>E287*6%</f>
        <v>0.29880000000000001</v>
      </c>
      <c r="H287" s="10"/>
      <c r="I287" s="48">
        <f>(E287+F287+G287)*27%</f>
        <v>1.4792760000000003</v>
      </c>
      <c r="J287" s="49">
        <f>30/100*(E287+F287+G287)</f>
        <v>1.6436400000000002</v>
      </c>
      <c r="K287" s="50">
        <f t="shared" si="115"/>
        <v>8.6017160000000015</v>
      </c>
      <c r="L287" s="51">
        <f t="shared" si="116"/>
        <v>12816556.840000002</v>
      </c>
      <c r="M287" s="58"/>
      <c r="N287" s="58"/>
      <c r="O287" s="51">
        <f t="shared" si="117"/>
        <v>12816556.840000002</v>
      </c>
      <c r="P287" s="53">
        <f t="shared" si="118"/>
        <v>1088590.9902000001</v>
      </c>
      <c r="Q287" s="54"/>
      <c r="R287" s="53">
        <f t="shared" si="113"/>
        <v>1088590.9902000001</v>
      </c>
      <c r="S287" s="53">
        <f t="shared" si="120"/>
        <v>11727965.849800002</v>
      </c>
      <c r="T287" s="59">
        <v>0.06</v>
      </c>
    </row>
    <row r="288" spans="1:20" ht="17.25" customHeight="1">
      <c r="A288" s="21">
        <v>6</v>
      </c>
      <c r="B288" s="39" t="s">
        <v>21</v>
      </c>
      <c r="C288" s="40" t="s">
        <v>84</v>
      </c>
      <c r="D288" s="55" t="s">
        <v>62</v>
      </c>
      <c r="E288" s="24">
        <v>4.6500000000000004</v>
      </c>
      <c r="F288" s="47">
        <v>0.25</v>
      </c>
      <c r="G288" s="14"/>
      <c r="H288" s="10"/>
      <c r="I288" s="48">
        <f>(E288+F288+G288)*21%</f>
        <v>1.0290000000000001</v>
      </c>
      <c r="J288" s="49">
        <f t="shared" ref="J288" si="121">30/100*(E288+F288+G288)</f>
        <v>1.47</v>
      </c>
      <c r="K288" s="50">
        <f t="shared" si="115"/>
        <v>7.399</v>
      </c>
      <c r="L288" s="51">
        <f t="shared" si="116"/>
        <v>11024510</v>
      </c>
      <c r="M288" s="58"/>
      <c r="N288" s="58"/>
      <c r="O288" s="51">
        <f t="shared" si="117"/>
        <v>11024510</v>
      </c>
      <c r="P288" s="53">
        <f t="shared" si="118"/>
        <v>927592.04999999993</v>
      </c>
      <c r="Q288" s="54"/>
      <c r="R288" s="53">
        <f t="shared" si="113"/>
        <v>927592.04999999993</v>
      </c>
      <c r="S288" s="53">
        <f t="shared" si="120"/>
        <v>10096917.949999999</v>
      </c>
      <c r="T288" s="41"/>
    </row>
    <row r="289" spans="1:20" ht="17.25" customHeight="1">
      <c r="A289" s="21">
        <v>7</v>
      </c>
      <c r="B289" s="39" t="s">
        <v>22</v>
      </c>
      <c r="C289" s="42" t="s">
        <v>31</v>
      </c>
      <c r="D289" s="55" t="s">
        <v>27</v>
      </c>
      <c r="E289" s="24">
        <v>4.8899999999999997</v>
      </c>
      <c r="F289" s="47"/>
      <c r="G289" s="57"/>
      <c r="H289" s="10"/>
      <c r="I289" s="48">
        <f>(E289+F289+G289)*27/100</f>
        <v>1.3203</v>
      </c>
      <c r="J289" s="49">
        <f>30/100*(E289+F289+G289)</f>
        <v>1.4669999999999999</v>
      </c>
      <c r="K289" s="50">
        <f t="shared" si="115"/>
        <v>7.6772999999999998</v>
      </c>
      <c r="L289" s="51">
        <f t="shared" si="116"/>
        <v>11439177</v>
      </c>
      <c r="M289" s="58"/>
      <c r="N289" s="58"/>
      <c r="O289" s="51">
        <f t="shared" si="117"/>
        <v>11439177</v>
      </c>
      <c r="P289" s="53">
        <f t="shared" si="118"/>
        <v>971601.43499999994</v>
      </c>
      <c r="Q289" s="54"/>
      <c r="R289" s="53">
        <f t="shared" si="113"/>
        <v>971601.43499999994</v>
      </c>
      <c r="S289" s="53">
        <f>O289-R289</f>
        <v>10467575.564999999</v>
      </c>
      <c r="T289" s="41"/>
    </row>
    <row r="290" spans="1:20" ht="17.25" customHeight="1">
      <c r="A290" s="21">
        <v>8</v>
      </c>
      <c r="B290" s="39" t="s">
        <v>21</v>
      </c>
      <c r="C290" s="26" t="s">
        <v>70</v>
      </c>
      <c r="D290" s="55" t="s">
        <v>27</v>
      </c>
      <c r="E290" s="24">
        <v>4.6500000000000004</v>
      </c>
      <c r="F290" s="47"/>
      <c r="G290" s="14"/>
      <c r="H290" s="10"/>
      <c r="I290" s="48">
        <f>(E290+F290+G290)*22/100</f>
        <v>1.0230000000000001</v>
      </c>
      <c r="J290" s="49">
        <f t="shared" ref="J290:J292" si="122">30/100*(E290+F290+G290)</f>
        <v>1.395</v>
      </c>
      <c r="K290" s="50">
        <f t="shared" si="115"/>
        <v>7.0679999999999996</v>
      </c>
      <c r="L290" s="51">
        <f t="shared" si="116"/>
        <v>10531320</v>
      </c>
      <c r="M290" s="58"/>
      <c r="N290" s="58"/>
      <c r="O290" s="51">
        <f t="shared" si="117"/>
        <v>10531320</v>
      </c>
      <c r="P290" s="53">
        <f t="shared" si="118"/>
        <v>887540.85</v>
      </c>
      <c r="Q290" s="54"/>
      <c r="R290" s="53">
        <f t="shared" si="113"/>
        <v>887540.85</v>
      </c>
      <c r="S290" s="53">
        <f t="shared" ref="S290:S293" si="123">O290-R290</f>
        <v>9643779.1500000004</v>
      </c>
      <c r="T290" s="41"/>
    </row>
    <row r="291" spans="1:20" ht="17.25" customHeight="1">
      <c r="A291" s="21">
        <v>9</v>
      </c>
      <c r="B291" s="39" t="s">
        <v>21</v>
      </c>
      <c r="C291" s="26" t="s">
        <v>33</v>
      </c>
      <c r="D291" s="55" t="s">
        <v>29</v>
      </c>
      <c r="E291" s="24">
        <v>4.6500000000000004</v>
      </c>
      <c r="F291" s="47">
        <v>0.2</v>
      </c>
      <c r="G291" s="14"/>
      <c r="H291" s="10"/>
      <c r="I291" s="48">
        <f>(E291+F291+G291)*21/100</f>
        <v>1.0185000000000002</v>
      </c>
      <c r="J291" s="49">
        <f t="shared" si="122"/>
        <v>1.4550000000000001</v>
      </c>
      <c r="K291" s="50">
        <f t="shared" si="115"/>
        <v>7.323500000000001</v>
      </c>
      <c r="L291" s="51">
        <f t="shared" si="116"/>
        <v>10912015.000000002</v>
      </c>
      <c r="M291" s="58"/>
      <c r="N291" s="58"/>
      <c r="O291" s="51">
        <f t="shared" si="117"/>
        <v>10912015.000000002</v>
      </c>
      <c r="P291" s="53">
        <f t="shared" si="118"/>
        <v>918126.82500000019</v>
      </c>
      <c r="Q291" s="54"/>
      <c r="R291" s="53">
        <f t="shared" si="113"/>
        <v>918126.82500000019</v>
      </c>
      <c r="S291" s="53">
        <f t="shared" si="123"/>
        <v>9993888.1750000007</v>
      </c>
      <c r="T291" s="41"/>
    </row>
    <row r="292" spans="1:20" ht="17.25" customHeight="1">
      <c r="A292" s="21">
        <v>10</v>
      </c>
      <c r="B292" s="39" t="s">
        <v>21</v>
      </c>
      <c r="C292" s="26" t="s">
        <v>34</v>
      </c>
      <c r="D292" s="55" t="s">
        <v>27</v>
      </c>
      <c r="E292" s="24">
        <v>4.32</v>
      </c>
      <c r="F292" s="47"/>
      <c r="G292" s="14"/>
      <c r="H292" s="10"/>
      <c r="I292" s="48">
        <f>(E292+F292+G292)*18/100</f>
        <v>0.77760000000000007</v>
      </c>
      <c r="J292" s="49">
        <f t="shared" si="122"/>
        <v>1.296</v>
      </c>
      <c r="K292" s="50">
        <f t="shared" si="115"/>
        <v>6.3936000000000002</v>
      </c>
      <c r="L292" s="51">
        <f t="shared" si="116"/>
        <v>9526464</v>
      </c>
      <c r="M292" s="58"/>
      <c r="N292" s="58"/>
      <c r="O292" s="51">
        <f t="shared" si="117"/>
        <v>9526464</v>
      </c>
      <c r="P292" s="53">
        <f t="shared" si="118"/>
        <v>797519.52</v>
      </c>
      <c r="Q292" s="54"/>
      <c r="R292" s="53">
        <f t="shared" si="113"/>
        <v>797519.52</v>
      </c>
      <c r="S292" s="53">
        <f t="shared" si="123"/>
        <v>8728944.4800000004</v>
      </c>
      <c r="T292" s="41"/>
    </row>
    <row r="293" spans="1:20" ht="17.25" customHeight="1">
      <c r="A293" s="21">
        <v>11</v>
      </c>
      <c r="B293" s="39" t="s">
        <v>21</v>
      </c>
      <c r="C293" s="42" t="s">
        <v>36</v>
      </c>
      <c r="D293" s="55" t="s">
        <v>29</v>
      </c>
      <c r="E293" s="24">
        <v>4.32</v>
      </c>
      <c r="F293" s="47">
        <v>0.2</v>
      </c>
      <c r="G293" s="33"/>
      <c r="H293" s="35"/>
      <c r="I293" s="48">
        <f>(E293+F293+G293)*20%</f>
        <v>0.90400000000000014</v>
      </c>
      <c r="J293" s="49">
        <f>30/100*(E293+F293+G293)</f>
        <v>1.3560000000000001</v>
      </c>
      <c r="K293" s="50">
        <f t="shared" si="115"/>
        <v>6.78</v>
      </c>
      <c r="L293" s="51">
        <f t="shared" si="116"/>
        <v>10102200</v>
      </c>
      <c r="M293" s="58"/>
      <c r="N293" s="58"/>
      <c r="O293" s="51">
        <f t="shared" si="117"/>
        <v>10102200</v>
      </c>
      <c r="P293" s="53">
        <f>((E293+F293+G293+I293)*1490000-M293)*10.5%</f>
        <v>848584.8</v>
      </c>
      <c r="Q293" s="54"/>
      <c r="R293" s="53">
        <f t="shared" si="113"/>
        <v>848584.8</v>
      </c>
      <c r="S293" s="53">
        <f t="shared" si="123"/>
        <v>9253615.1999999993</v>
      </c>
      <c r="T293" s="2"/>
    </row>
    <row r="294" spans="1:20" ht="17.25" customHeight="1">
      <c r="A294" s="21">
        <v>12</v>
      </c>
      <c r="B294" s="39" t="s">
        <v>64</v>
      </c>
      <c r="C294" s="26" t="s">
        <v>59</v>
      </c>
      <c r="D294" s="55" t="s">
        <v>35</v>
      </c>
      <c r="E294" s="24">
        <v>4.2699999999999996</v>
      </c>
      <c r="F294" s="47">
        <v>0.2</v>
      </c>
      <c r="G294" s="33"/>
      <c r="H294" s="34">
        <v>0.1</v>
      </c>
      <c r="I294" s="48"/>
      <c r="J294" s="49"/>
      <c r="K294" s="50">
        <f t="shared" si="115"/>
        <v>4.5699999999999994</v>
      </c>
      <c r="L294" s="51">
        <f t="shared" si="116"/>
        <v>6809299.9999999991</v>
      </c>
      <c r="M294" s="58"/>
      <c r="N294" s="58"/>
      <c r="O294" s="51">
        <f t="shared" si="117"/>
        <v>6809299.9999999991</v>
      </c>
      <c r="P294" s="53">
        <f>((E294+F294+G294+I294)*1490000-M294)*10.5%</f>
        <v>699331.5</v>
      </c>
      <c r="Q294" s="54"/>
      <c r="R294" s="53">
        <f t="shared" si="113"/>
        <v>699331.5</v>
      </c>
      <c r="S294" s="53">
        <f>O294-R294</f>
        <v>6109968.4999999991</v>
      </c>
      <c r="T294" s="2"/>
    </row>
    <row r="295" spans="1:20" ht="17.25" customHeight="1">
      <c r="A295" s="21">
        <v>13</v>
      </c>
      <c r="B295" s="39" t="s">
        <v>21</v>
      </c>
      <c r="C295" s="40" t="s">
        <v>69</v>
      </c>
      <c r="D295" s="55" t="s">
        <v>27</v>
      </c>
      <c r="E295" s="24">
        <v>4.32</v>
      </c>
      <c r="F295" s="47"/>
      <c r="G295" s="33"/>
      <c r="H295" s="35"/>
      <c r="I295" s="48">
        <f>(E295+F295+G295)*20/100</f>
        <v>0.8640000000000001</v>
      </c>
      <c r="J295" s="49">
        <f>30/100*(E295+F295+G295)</f>
        <v>1.296</v>
      </c>
      <c r="K295" s="50">
        <f t="shared" si="115"/>
        <v>6.48</v>
      </c>
      <c r="L295" s="51">
        <f t="shared" si="116"/>
        <v>9655200</v>
      </c>
      <c r="M295" s="58"/>
      <c r="N295" s="58"/>
      <c r="O295" s="51">
        <f t="shared" si="117"/>
        <v>9655200</v>
      </c>
      <c r="P295" s="53">
        <f t="shared" ref="P295:P313" si="124">((E295+F295+G295+I295)*1490000-M295)*10.5%</f>
        <v>811036.79999999993</v>
      </c>
      <c r="Q295" s="54"/>
      <c r="R295" s="53">
        <f t="shared" si="113"/>
        <v>811036.79999999993</v>
      </c>
      <c r="S295" s="53">
        <f t="shared" ref="S295:S302" si="125">O295-R295</f>
        <v>8844163.1999999993</v>
      </c>
      <c r="T295" s="2"/>
    </row>
    <row r="296" spans="1:20" ht="17.25" customHeight="1">
      <c r="A296" s="21">
        <v>14</v>
      </c>
      <c r="B296" s="39" t="s">
        <v>21</v>
      </c>
      <c r="C296" s="40" t="s">
        <v>37</v>
      </c>
      <c r="D296" s="55" t="s">
        <v>27</v>
      </c>
      <c r="E296" s="24">
        <v>4.32</v>
      </c>
      <c r="F296" s="24"/>
      <c r="G296" s="33"/>
      <c r="H296" s="35"/>
      <c r="I296" s="48">
        <f>(E296+F296+G296)*20/100</f>
        <v>0.8640000000000001</v>
      </c>
      <c r="J296" s="49">
        <f>30/100*(E296+F296+G296)</f>
        <v>1.296</v>
      </c>
      <c r="K296" s="50">
        <f t="shared" si="115"/>
        <v>6.48</v>
      </c>
      <c r="L296" s="51">
        <f t="shared" si="116"/>
        <v>9655200</v>
      </c>
      <c r="M296" s="58"/>
      <c r="N296" s="58"/>
      <c r="O296" s="51">
        <f t="shared" si="117"/>
        <v>9655200</v>
      </c>
      <c r="P296" s="53">
        <f t="shared" si="124"/>
        <v>811036.79999999993</v>
      </c>
      <c r="Q296" s="54"/>
      <c r="R296" s="53">
        <f t="shared" si="113"/>
        <v>811036.79999999993</v>
      </c>
      <c r="S296" s="53">
        <f t="shared" si="125"/>
        <v>8844163.1999999993</v>
      </c>
      <c r="T296" s="2"/>
    </row>
    <row r="297" spans="1:20" ht="17.25" customHeight="1">
      <c r="A297" s="21">
        <v>15</v>
      </c>
      <c r="B297" s="39" t="s">
        <v>21</v>
      </c>
      <c r="C297" s="40" t="s">
        <v>71</v>
      </c>
      <c r="D297" s="55" t="s">
        <v>27</v>
      </c>
      <c r="E297" s="24">
        <v>4.32</v>
      </c>
      <c r="F297" s="24"/>
      <c r="G297" s="33"/>
      <c r="H297" s="35"/>
      <c r="I297" s="48">
        <f>(E297+F297+G297)*19/100</f>
        <v>0.82080000000000009</v>
      </c>
      <c r="J297" s="49">
        <f t="shared" ref="J297:J299" si="126">30/100*(E297+F297+G297)</f>
        <v>1.296</v>
      </c>
      <c r="K297" s="50">
        <f t="shared" si="115"/>
        <v>6.4368000000000007</v>
      </c>
      <c r="L297" s="51">
        <f t="shared" si="116"/>
        <v>9590832.0000000019</v>
      </c>
      <c r="M297" s="58"/>
      <c r="N297" s="58"/>
      <c r="O297" s="51">
        <f t="shared" si="117"/>
        <v>9590832.0000000019</v>
      </c>
      <c r="P297" s="53">
        <f t="shared" si="124"/>
        <v>804278.16</v>
      </c>
      <c r="Q297" s="54"/>
      <c r="R297" s="53">
        <f t="shared" si="113"/>
        <v>804278.16</v>
      </c>
      <c r="S297" s="53">
        <f t="shared" si="125"/>
        <v>8786553.8400000017</v>
      </c>
      <c r="T297" s="41"/>
    </row>
    <row r="298" spans="1:20" ht="17.25" customHeight="1">
      <c r="A298" s="21">
        <v>16</v>
      </c>
      <c r="B298" s="39" t="s">
        <v>21</v>
      </c>
      <c r="C298" s="40" t="s">
        <v>38</v>
      </c>
      <c r="D298" s="55" t="s">
        <v>27</v>
      </c>
      <c r="E298" s="24">
        <v>4.32</v>
      </c>
      <c r="F298" s="24"/>
      <c r="G298" s="33"/>
      <c r="H298" s="35"/>
      <c r="I298" s="48">
        <f>(E298+F298+G298)*18%</f>
        <v>0.77760000000000007</v>
      </c>
      <c r="J298" s="49">
        <f t="shared" si="126"/>
        <v>1.296</v>
      </c>
      <c r="K298" s="50">
        <f t="shared" si="115"/>
        <v>6.3936000000000002</v>
      </c>
      <c r="L298" s="51">
        <f t="shared" si="116"/>
        <v>9526464</v>
      </c>
      <c r="M298" s="58"/>
      <c r="N298" s="58"/>
      <c r="O298" s="51">
        <f t="shared" si="117"/>
        <v>9526464</v>
      </c>
      <c r="P298" s="53">
        <f t="shared" si="124"/>
        <v>797519.52</v>
      </c>
      <c r="Q298" s="54"/>
      <c r="R298" s="53">
        <f t="shared" si="113"/>
        <v>797519.52</v>
      </c>
      <c r="S298" s="53">
        <f t="shared" si="125"/>
        <v>8728944.4800000004</v>
      </c>
      <c r="T298" s="41"/>
    </row>
    <row r="299" spans="1:20" ht="17.25" customHeight="1">
      <c r="A299" s="21">
        <v>17</v>
      </c>
      <c r="B299" s="39" t="s">
        <v>21</v>
      </c>
      <c r="C299" s="40" t="s">
        <v>72</v>
      </c>
      <c r="D299" s="55" t="s">
        <v>27</v>
      </c>
      <c r="E299" s="24">
        <v>4.32</v>
      </c>
      <c r="F299" s="24"/>
      <c r="G299" s="33"/>
      <c r="H299" s="35"/>
      <c r="I299" s="48">
        <f>(E299+F299+G299)*18%</f>
        <v>0.77760000000000007</v>
      </c>
      <c r="J299" s="49">
        <f t="shared" si="126"/>
        <v>1.296</v>
      </c>
      <c r="K299" s="50">
        <f t="shared" si="115"/>
        <v>6.3936000000000002</v>
      </c>
      <c r="L299" s="51">
        <f t="shared" si="116"/>
        <v>9526464</v>
      </c>
      <c r="M299" s="58"/>
      <c r="N299" s="58"/>
      <c r="O299" s="51">
        <f t="shared" si="117"/>
        <v>9526464</v>
      </c>
      <c r="P299" s="53">
        <f t="shared" si="124"/>
        <v>797519.52</v>
      </c>
      <c r="Q299" s="54"/>
      <c r="R299" s="53">
        <f t="shared" si="113"/>
        <v>797519.52</v>
      </c>
      <c r="S299" s="53">
        <f t="shared" si="125"/>
        <v>8728944.4800000004</v>
      </c>
      <c r="T299" s="41"/>
    </row>
    <row r="300" spans="1:20" ht="17.25" customHeight="1">
      <c r="A300" s="21">
        <v>18</v>
      </c>
      <c r="B300" s="39" t="s">
        <v>21</v>
      </c>
      <c r="C300" s="40" t="s">
        <v>91</v>
      </c>
      <c r="D300" s="55" t="s">
        <v>27</v>
      </c>
      <c r="E300" s="24">
        <v>4.32</v>
      </c>
      <c r="F300" s="24">
        <v>0.15</v>
      </c>
      <c r="G300" s="60"/>
      <c r="H300" s="35"/>
      <c r="I300" s="48">
        <f>(E300+F300+G300)*19%</f>
        <v>0.84930000000000017</v>
      </c>
      <c r="J300" s="49">
        <f>30/100*(E300+F300+G300)</f>
        <v>1.3410000000000002</v>
      </c>
      <c r="K300" s="61">
        <f t="shared" si="115"/>
        <v>6.6603000000000012</v>
      </c>
      <c r="L300" s="62">
        <f t="shared" si="116"/>
        <v>9923847.0000000019</v>
      </c>
      <c r="M300" s="63"/>
      <c r="N300" s="63"/>
      <c r="O300" s="62">
        <f t="shared" si="117"/>
        <v>9923847.0000000019</v>
      </c>
      <c r="P300" s="64">
        <f t="shared" si="124"/>
        <v>832204.48500000022</v>
      </c>
      <c r="Q300" s="54"/>
      <c r="R300" s="64">
        <f t="shared" si="113"/>
        <v>832204.48500000022</v>
      </c>
      <c r="S300" s="64">
        <f t="shared" si="125"/>
        <v>9091642.5150000025</v>
      </c>
      <c r="T300" s="41"/>
    </row>
    <row r="301" spans="1:20" ht="17.25" customHeight="1">
      <c r="A301" s="21">
        <v>19</v>
      </c>
      <c r="B301" s="39" t="s">
        <v>21</v>
      </c>
      <c r="C301" s="40" t="s">
        <v>39</v>
      </c>
      <c r="D301" s="55" t="s">
        <v>27</v>
      </c>
      <c r="E301" s="24">
        <v>4.32</v>
      </c>
      <c r="F301" s="24"/>
      <c r="G301" s="33"/>
      <c r="H301" s="36"/>
      <c r="I301" s="48">
        <f>(E301+F301+G301)*21%</f>
        <v>0.90720000000000001</v>
      </c>
      <c r="J301" s="49">
        <f>30/100*(E301+F301+G301)</f>
        <v>1.296</v>
      </c>
      <c r="K301" s="50">
        <f t="shared" si="115"/>
        <v>6.5232000000000001</v>
      </c>
      <c r="L301" s="51">
        <f t="shared" si="116"/>
        <v>9719568</v>
      </c>
      <c r="M301" s="58"/>
      <c r="N301" s="58"/>
      <c r="O301" s="51">
        <f t="shared" si="117"/>
        <v>9719568</v>
      </c>
      <c r="P301" s="53">
        <f t="shared" si="124"/>
        <v>817795.44</v>
      </c>
      <c r="Q301" s="54"/>
      <c r="R301" s="53">
        <f t="shared" si="113"/>
        <v>817795.44</v>
      </c>
      <c r="S301" s="53">
        <f t="shared" si="125"/>
        <v>8901772.5600000005</v>
      </c>
      <c r="T301" s="41"/>
    </row>
    <row r="302" spans="1:20" ht="17.25" customHeight="1">
      <c r="A302" s="21">
        <v>20</v>
      </c>
      <c r="B302" s="39" t="s">
        <v>22</v>
      </c>
      <c r="C302" s="40" t="s">
        <v>40</v>
      </c>
      <c r="D302" s="55" t="s">
        <v>90</v>
      </c>
      <c r="E302" s="24">
        <v>3.96</v>
      </c>
      <c r="F302" s="24">
        <v>0.15</v>
      </c>
      <c r="G302" s="33"/>
      <c r="H302" s="36"/>
      <c r="I302" s="48">
        <f>(E302+F302+G302)*18/100</f>
        <v>0.73980000000000001</v>
      </c>
      <c r="J302" s="49">
        <f t="shared" ref="J302" si="127">30/100*(E302+F302+G302)</f>
        <v>1.2330000000000001</v>
      </c>
      <c r="K302" s="50">
        <f t="shared" si="115"/>
        <v>6.0828000000000007</v>
      </c>
      <c r="L302" s="51">
        <f t="shared" si="116"/>
        <v>9063372.0000000019</v>
      </c>
      <c r="M302" s="58"/>
      <c r="N302" s="58"/>
      <c r="O302" s="51">
        <f t="shared" si="117"/>
        <v>9063372.0000000019</v>
      </c>
      <c r="P302" s="53">
        <f t="shared" si="124"/>
        <v>758751.21</v>
      </c>
      <c r="Q302" s="54"/>
      <c r="R302" s="53">
        <f t="shared" si="113"/>
        <v>758751.21</v>
      </c>
      <c r="S302" s="53">
        <f t="shared" si="125"/>
        <v>8304620.7900000019</v>
      </c>
      <c r="T302" s="41"/>
    </row>
    <row r="303" spans="1:20" ht="17.25" customHeight="1">
      <c r="A303" s="21">
        <v>21</v>
      </c>
      <c r="B303" s="39" t="s">
        <v>21</v>
      </c>
      <c r="C303" s="40" t="s">
        <v>73</v>
      </c>
      <c r="D303" s="55" t="s">
        <v>27</v>
      </c>
      <c r="E303" s="24">
        <v>3.99</v>
      </c>
      <c r="F303" s="24"/>
      <c r="G303" s="14"/>
      <c r="H303" s="10"/>
      <c r="I303" s="48">
        <f>(E303+F303+G303)*17%</f>
        <v>0.67830000000000013</v>
      </c>
      <c r="J303" s="49">
        <f>30/100*(E303+F303+G303)</f>
        <v>1.1970000000000001</v>
      </c>
      <c r="K303" s="50">
        <f t="shared" si="115"/>
        <v>5.8653000000000004</v>
      </c>
      <c r="L303" s="51">
        <f t="shared" si="116"/>
        <v>8739297</v>
      </c>
      <c r="M303" s="65"/>
      <c r="N303" s="65"/>
      <c r="O303" s="51">
        <f>L303-M303+N303</f>
        <v>8739297</v>
      </c>
      <c r="P303" s="53">
        <f t="shared" si="124"/>
        <v>730355.53500000003</v>
      </c>
      <c r="Q303" s="54"/>
      <c r="R303" s="53">
        <f t="shared" si="113"/>
        <v>730355.53500000003</v>
      </c>
      <c r="S303" s="53">
        <f>O303-R303-N303</f>
        <v>8008941.4649999999</v>
      </c>
      <c r="T303" s="41"/>
    </row>
    <row r="304" spans="1:20" ht="17.25" customHeight="1">
      <c r="A304" s="21">
        <v>22</v>
      </c>
      <c r="B304" s="39" t="s">
        <v>21</v>
      </c>
      <c r="C304" s="40" t="s">
        <v>41</v>
      </c>
      <c r="D304" s="55" t="s">
        <v>27</v>
      </c>
      <c r="E304" s="24">
        <v>3.99</v>
      </c>
      <c r="F304" s="56"/>
      <c r="G304" s="14"/>
      <c r="H304" s="10"/>
      <c r="I304" s="48">
        <f>(E304+F304+G304)*17/100</f>
        <v>0.67830000000000001</v>
      </c>
      <c r="J304" s="49">
        <f t="shared" ref="J304:J309" si="128">30/100*(E304+F304+G304)</f>
        <v>1.1970000000000001</v>
      </c>
      <c r="K304" s="50">
        <f t="shared" si="115"/>
        <v>5.8653000000000004</v>
      </c>
      <c r="L304" s="51">
        <f t="shared" si="116"/>
        <v>8739297</v>
      </c>
      <c r="M304" s="58"/>
      <c r="N304" s="58"/>
      <c r="O304" s="51">
        <f t="shared" ref="O304:O309" si="129">L304-M304+N304</f>
        <v>8739297</v>
      </c>
      <c r="P304" s="53">
        <f t="shared" si="124"/>
        <v>730355.53500000003</v>
      </c>
      <c r="Q304" s="54"/>
      <c r="R304" s="53">
        <f t="shared" si="113"/>
        <v>730355.53500000003</v>
      </c>
      <c r="S304" s="53">
        <f t="shared" ref="S304:S307" si="130">O304-R304</f>
        <v>8008941.4649999999</v>
      </c>
      <c r="T304" s="41"/>
    </row>
    <row r="305" spans="1:22" ht="17.25" customHeight="1">
      <c r="A305" s="21">
        <v>23</v>
      </c>
      <c r="B305" s="39" t="s">
        <v>21</v>
      </c>
      <c r="C305" s="40" t="s">
        <v>42</v>
      </c>
      <c r="D305" s="55" t="s">
        <v>27</v>
      </c>
      <c r="E305" s="24">
        <v>3.99</v>
      </c>
      <c r="F305" s="56"/>
      <c r="G305" s="14"/>
      <c r="H305" s="24">
        <v>0.1</v>
      </c>
      <c r="I305" s="48">
        <f>(E305+F305+G305)*17/100</f>
        <v>0.67830000000000001</v>
      </c>
      <c r="J305" s="49">
        <f t="shared" si="128"/>
        <v>1.1970000000000001</v>
      </c>
      <c r="K305" s="50">
        <f t="shared" si="115"/>
        <v>5.9653</v>
      </c>
      <c r="L305" s="51">
        <f t="shared" si="116"/>
        <v>8888297</v>
      </c>
      <c r="M305" s="58"/>
      <c r="N305" s="58"/>
      <c r="O305" s="51">
        <f t="shared" si="129"/>
        <v>8888297</v>
      </c>
      <c r="P305" s="53">
        <f t="shared" si="124"/>
        <v>730355.53500000003</v>
      </c>
      <c r="Q305" s="54"/>
      <c r="R305" s="53">
        <f t="shared" si="113"/>
        <v>730355.53500000003</v>
      </c>
      <c r="S305" s="53">
        <f t="shared" si="130"/>
        <v>8157941.4649999999</v>
      </c>
      <c r="T305" s="41"/>
    </row>
    <row r="306" spans="1:22" ht="17.25" customHeight="1">
      <c r="A306" s="21">
        <v>24</v>
      </c>
      <c r="B306" s="39" t="s">
        <v>21</v>
      </c>
      <c r="C306" s="26" t="s">
        <v>74</v>
      </c>
      <c r="D306" s="55" t="s">
        <v>27</v>
      </c>
      <c r="E306" s="24">
        <v>3.99</v>
      </c>
      <c r="F306" s="56"/>
      <c r="G306" s="14"/>
      <c r="H306" s="10"/>
      <c r="I306" s="66">
        <f>(E306+F306+G306)*16/100</f>
        <v>0.63840000000000008</v>
      </c>
      <c r="J306" s="67">
        <f t="shared" si="128"/>
        <v>1.1970000000000001</v>
      </c>
      <c r="K306" s="68">
        <f t="shared" si="115"/>
        <v>5.8254000000000001</v>
      </c>
      <c r="L306" s="69">
        <f t="shared" si="116"/>
        <v>8679846</v>
      </c>
      <c r="M306" s="70"/>
      <c r="N306" s="70"/>
      <c r="O306" s="69">
        <f t="shared" si="129"/>
        <v>8679846</v>
      </c>
      <c r="P306" s="71">
        <f t="shared" si="124"/>
        <v>724113.17999999993</v>
      </c>
      <c r="Q306" s="54"/>
      <c r="R306" s="71">
        <f t="shared" si="113"/>
        <v>724113.17999999993</v>
      </c>
      <c r="S306" s="71">
        <f t="shared" si="130"/>
        <v>7955732.8200000003</v>
      </c>
      <c r="T306" s="41"/>
    </row>
    <row r="307" spans="1:22" ht="17.25" customHeight="1">
      <c r="A307" s="21">
        <v>25</v>
      </c>
      <c r="B307" s="72" t="s">
        <v>21</v>
      </c>
      <c r="C307" s="26" t="s">
        <v>43</v>
      </c>
      <c r="D307" s="55" t="s">
        <v>27</v>
      </c>
      <c r="E307" s="24">
        <v>3.99</v>
      </c>
      <c r="F307" s="56"/>
      <c r="G307" s="14"/>
      <c r="H307" s="10"/>
      <c r="I307" s="66">
        <f>(E307+F307+G307)*16/100</f>
        <v>0.63840000000000008</v>
      </c>
      <c r="J307" s="67">
        <f t="shared" si="128"/>
        <v>1.1970000000000001</v>
      </c>
      <c r="K307" s="68">
        <f t="shared" si="115"/>
        <v>5.8254000000000001</v>
      </c>
      <c r="L307" s="69">
        <f t="shared" si="116"/>
        <v>8679846</v>
      </c>
      <c r="M307" s="70"/>
      <c r="N307" s="70"/>
      <c r="O307" s="69">
        <f t="shared" si="129"/>
        <v>8679846</v>
      </c>
      <c r="P307" s="71">
        <f t="shared" si="124"/>
        <v>724113.17999999993</v>
      </c>
      <c r="Q307" s="54"/>
      <c r="R307" s="71">
        <f t="shared" si="113"/>
        <v>724113.17999999993</v>
      </c>
      <c r="S307" s="71">
        <f t="shared" si="130"/>
        <v>7955732.8200000003</v>
      </c>
      <c r="T307" s="41"/>
    </row>
    <row r="308" spans="1:22" ht="17.25" customHeight="1">
      <c r="A308" s="21">
        <v>26</v>
      </c>
      <c r="B308" s="39" t="s">
        <v>21</v>
      </c>
      <c r="C308" s="26" t="s">
        <v>58</v>
      </c>
      <c r="D308" s="55" t="s">
        <v>27</v>
      </c>
      <c r="E308" s="24">
        <v>3.33</v>
      </c>
      <c r="F308" s="56"/>
      <c r="G308" s="14"/>
      <c r="H308" s="10"/>
      <c r="I308" s="48">
        <f>(E308+F308+G308)*11%</f>
        <v>0.36630000000000001</v>
      </c>
      <c r="J308" s="49">
        <f t="shared" si="128"/>
        <v>0.999</v>
      </c>
      <c r="K308" s="50">
        <f t="shared" si="115"/>
        <v>4.6952999999999996</v>
      </c>
      <c r="L308" s="51">
        <f t="shared" si="116"/>
        <v>6995996.9999999991</v>
      </c>
      <c r="M308" s="58"/>
      <c r="N308" s="58"/>
      <c r="O308" s="51">
        <f t="shared" si="129"/>
        <v>6995996.9999999991</v>
      </c>
      <c r="P308" s="53">
        <f t="shared" si="124"/>
        <v>578286.13500000001</v>
      </c>
      <c r="Q308" s="54"/>
      <c r="R308" s="53">
        <f t="shared" si="113"/>
        <v>578286.13500000001</v>
      </c>
      <c r="S308" s="53">
        <f>O308-R308</f>
        <v>6417710.8649999993</v>
      </c>
      <c r="T308" s="41"/>
    </row>
    <row r="309" spans="1:22" ht="17.25" customHeight="1">
      <c r="A309" s="21">
        <v>27</v>
      </c>
      <c r="B309" s="39" t="s">
        <v>21</v>
      </c>
      <c r="C309" s="40" t="s">
        <v>44</v>
      </c>
      <c r="D309" s="55" t="s">
        <v>27</v>
      </c>
      <c r="E309" s="24">
        <v>3.99</v>
      </c>
      <c r="F309" s="56"/>
      <c r="G309" s="14"/>
      <c r="H309" s="10"/>
      <c r="I309" s="48">
        <f>(E309+F309+G309)*15/100</f>
        <v>0.59850000000000003</v>
      </c>
      <c r="J309" s="49">
        <f t="shared" si="128"/>
        <v>1.1970000000000001</v>
      </c>
      <c r="K309" s="50">
        <f t="shared" si="115"/>
        <v>5.7854999999999999</v>
      </c>
      <c r="L309" s="51">
        <f t="shared" si="116"/>
        <v>8620395</v>
      </c>
      <c r="M309" s="58"/>
      <c r="N309" s="58"/>
      <c r="O309" s="51">
        <f t="shared" si="129"/>
        <v>8620395</v>
      </c>
      <c r="P309" s="53">
        <f t="shared" si="124"/>
        <v>717870.82499999995</v>
      </c>
      <c r="Q309" s="54"/>
      <c r="R309" s="53">
        <f t="shared" si="113"/>
        <v>717870.82499999995</v>
      </c>
      <c r="S309" s="53">
        <f t="shared" ref="S309:S312" si="131">O309-R309</f>
        <v>7902524.1749999998</v>
      </c>
      <c r="T309" s="41"/>
    </row>
    <row r="310" spans="1:22" ht="17.25" customHeight="1">
      <c r="A310" s="21">
        <v>28</v>
      </c>
      <c r="B310" s="39" t="s">
        <v>53</v>
      </c>
      <c r="C310" s="73" t="s">
        <v>75</v>
      </c>
      <c r="D310" s="55" t="s">
        <v>83</v>
      </c>
      <c r="E310" s="74">
        <v>3.46</v>
      </c>
      <c r="F310" s="56">
        <v>0.15</v>
      </c>
      <c r="G310" s="14"/>
      <c r="H310" s="10"/>
      <c r="I310" s="48"/>
      <c r="J310" s="49"/>
      <c r="K310" s="50">
        <f>E310+F310+G310+H310+I310+J310</f>
        <v>3.61</v>
      </c>
      <c r="L310" s="51">
        <f>K310*1490000</f>
        <v>5378900</v>
      </c>
      <c r="M310" s="65"/>
      <c r="N310" s="75"/>
      <c r="O310" s="51">
        <f>L310-M310+N310</f>
        <v>5378900</v>
      </c>
      <c r="P310" s="53">
        <f t="shared" si="124"/>
        <v>564784.5</v>
      </c>
      <c r="Q310" s="54"/>
      <c r="R310" s="53">
        <f t="shared" si="113"/>
        <v>564784.5</v>
      </c>
      <c r="S310" s="53">
        <f t="shared" si="131"/>
        <v>4814115.5</v>
      </c>
      <c r="T310" s="41" t="s">
        <v>236</v>
      </c>
    </row>
    <row r="311" spans="1:22" ht="17.25" customHeight="1">
      <c r="A311" s="21">
        <v>29</v>
      </c>
      <c r="B311" s="39" t="s">
        <v>89</v>
      </c>
      <c r="C311" s="42" t="s">
        <v>46</v>
      </c>
      <c r="D311" s="55" t="s">
        <v>27</v>
      </c>
      <c r="E311" s="24">
        <v>4</v>
      </c>
      <c r="F311" s="24"/>
      <c r="G311" s="14"/>
      <c r="H311" s="10"/>
      <c r="I311" s="48">
        <f>(E311+F311+G311)*13%</f>
        <v>0.52</v>
      </c>
      <c r="J311" s="49">
        <f t="shared" ref="J311:J312" si="132">30/100*(E311+F311+G311)</f>
        <v>1.2</v>
      </c>
      <c r="K311" s="50">
        <f t="shared" si="115"/>
        <v>5.72</v>
      </c>
      <c r="L311" s="51">
        <f t="shared" si="116"/>
        <v>8522800</v>
      </c>
      <c r="M311" s="58"/>
      <c r="N311" s="58"/>
      <c r="O311" s="51">
        <f t="shared" ref="O311:O319" si="133">L311-M311+N311</f>
        <v>8522800</v>
      </c>
      <c r="P311" s="53">
        <f t="shared" si="124"/>
        <v>707153.99999999988</v>
      </c>
      <c r="Q311" s="54"/>
      <c r="R311" s="53">
        <f t="shared" si="113"/>
        <v>707153.99999999988</v>
      </c>
      <c r="S311" s="76">
        <f t="shared" si="131"/>
        <v>7815646</v>
      </c>
      <c r="T311" s="41"/>
    </row>
    <row r="312" spans="1:22" ht="17.25" customHeight="1">
      <c r="A312" s="21">
        <v>30</v>
      </c>
      <c r="B312" s="39" t="s">
        <v>21</v>
      </c>
      <c r="C312" s="40" t="s">
        <v>47</v>
      </c>
      <c r="D312" s="55" t="s">
        <v>27</v>
      </c>
      <c r="E312" s="24">
        <v>3.99</v>
      </c>
      <c r="F312" s="24"/>
      <c r="G312" s="14"/>
      <c r="H312" s="10"/>
      <c r="I312" s="48">
        <f>(E312+F312+G312)*15%</f>
        <v>0.59850000000000003</v>
      </c>
      <c r="J312" s="49">
        <f t="shared" si="132"/>
        <v>1.1970000000000001</v>
      </c>
      <c r="K312" s="50">
        <f t="shared" si="115"/>
        <v>5.7854999999999999</v>
      </c>
      <c r="L312" s="51">
        <f t="shared" si="116"/>
        <v>8620395</v>
      </c>
      <c r="M312" s="53"/>
      <c r="N312" s="58"/>
      <c r="O312" s="51">
        <f t="shared" si="133"/>
        <v>8620395</v>
      </c>
      <c r="P312" s="53">
        <f t="shared" si="124"/>
        <v>717870.82499999995</v>
      </c>
      <c r="Q312" s="54"/>
      <c r="R312" s="53">
        <f t="shared" si="113"/>
        <v>717870.82499999995</v>
      </c>
      <c r="S312" s="76">
        <f t="shared" si="131"/>
        <v>7902524.1749999998</v>
      </c>
      <c r="T312" s="41"/>
    </row>
    <row r="313" spans="1:22" ht="17.25" customHeight="1">
      <c r="A313" s="21">
        <v>31</v>
      </c>
      <c r="B313" s="39" t="s">
        <v>21</v>
      </c>
      <c r="C313" s="40" t="s">
        <v>48</v>
      </c>
      <c r="D313" s="55" t="s">
        <v>27</v>
      </c>
      <c r="E313" s="24">
        <v>3.66</v>
      </c>
      <c r="F313" s="24"/>
      <c r="G313" s="14"/>
      <c r="H313" s="10"/>
      <c r="I313" s="48">
        <f>(E313+F313+G313)*13%</f>
        <v>0.47580000000000006</v>
      </c>
      <c r="J313" s="49">
        <f>30/100*(E313+F313+G313)</f>
        <v>1.0980000000000001</v>
      </c>
      <c r="K313" s="50">
        <f t="shared" si="115"/>
        <v>5.2338000000000005</v>
      </c>
      <c r="L313" s="51">
        <f t="shared" si="116"/>
        <v>7798362.0000000009</v>
      </c>
      <c r="M313" s="53"/>
      <c r="N313" s="58"/>
      <c r="O313" s="51">
        <f t="shared" si="133"/>
        <v>7798362.0000000009</v>
      </c>
      <c r="P313" s="53">
        <f t="shared" si="124"/>
        <v>647045.91</v>
      </c>
      <c r="Q313" s="54"/>
      <c r="R313" s="53">
        <f t="shared" si="113"/>
        <v>647045.91</v>
      </c>
      <c r="S313" s="76">
        <f>O313-R313</f>
        <v>7151316.0900000008</v>
      </c>
      <c r="T313" s="41"/>
      <c r="V313">
        <f>910+370+562+120+345+170</f>
        <v>2477</v>
      </c>
    </row>
    <row r="314" spans="1:22" ht="17.25" customHeight="1">
      <c r="A314" s="21">
        <v>32</v>
      </c>
      <c r="B314" s="39" t="s">
        <v>21</v>
      </c>
      <c r="C314" s="40" t="s">
        <v>92</v>
      </c>
      <c r="D314" s="55" t="s">
        <v>27</v>
      </c>
      <c r="E314" s="24">
        <v>3.33</v>
      </c>
      <c r="F314" s="24"/>
      <c r="G314" s="14"/>
      <c r="H314" s="10"/>
      <c r="I314" s="48">
        <f>(E314+F314+G314)*10%</f>
        <v>0.33300000000000002</v>
      </c>
      <c r="J314" s="49">
        <f>30/100*(E314+F314+G314)</f>
        <v>0.999</v>
      </c>
      <c r="K314" s="50">
        <f>E314+F314+G314+H314+I314+J314</f>
        <v>4.6619999999999999</v>
      </c>
      <c r="L314" s="51">
        <f t="shared" si="116"/>
        <v>6946380</v>
      </c>
      <c r="M314" s="53"/>
      <c r="N314" s="53"/>
      <c r="O314" s="51">
        <f t="shared" si="133"/>
        <v>6946380</v>
      </c>
      <c r="P314" s="53">
        <f>((E314+F314+G314+I314)*1490000)*10.5%</f>
        <v>573076.35</v>
      </c>
      <c r="Q314" s="54"/>
      <c r="R314" s="53">
        <f t="shared" si="113"/>
        <v>573076.35</v>
      </c>
      <c r="S314" s="76">
        <f t="shared" ref="S314:S315" si="134">O314-R314</f>
        <v>6373303.6500000004</v>
      </c>
      <c r="T314" s="41"/>
      <c r="V314">
        <f>V313+3200+1565</f>
        <v>7242</v>
      </c>
    </row>
    <row r="315" spans="1:22" ht="17.25" customHeight="1">
      <c r="A315" s="21">
        <v>33</v>
      </c>
      <c r="B315" s="39" t="s">
        <v>21</v>
      </c>
      <c r="C315" s="40" t="s">
        <v>93</v>
      </c>
      <c r="D315" s="55" t="s">
        <v>27</v>
      </c>
      <c r="E315" s="24">
        <v>3.66</v>
      </c>
      <c r="F315" s="24"/>
      <c r="G315" s="14"/>
      <c r="H315" s="10"/>
      <c r="I315" s="48">
        <f>(E315+F315+G315)*11%</f>
        <v>0.40260000000000001</v>
      </c>
      <c r="J315" s="49">
        <f>30/100*(E315+F315+G315)</f>
        <v>1.0980000000000001</v>
      </c>
      <c r="K315" s="50">
        <f>E315+F315+G315+H315+I315+J315</f>
        <v>5.1605999999999996</v>
      </c>
      <c r="L315" s="51">
        <f t="shared" si="116"/>
        <v>7689293.9999999991</v>
      </c>
      <c r="M315" s="53"/>
      <c r="N315" s="53"/>
      <c r="O315" s="51">
        <f t="shared" si="133"/>
        <v>7689293.9999999991</v>
      </c>
      <c r="P315" s="53">
        <f>((E315+F315+G315+I315)*1490000)*10.5%</f>
        <v>635593.77</v>
      </c>
      <c r="Q315" s="54"/>
      <c r="R315" s="53">
        <f t="shared" si="113"/>
        <v>635593.77</v>
      </c>
      <c r="S315" s="76">
        <f t="shared" si="134"/>
        <v>7053700.2299999986</v>
      </c>
      <c r="T315" s="41"/>
      <c r="V315">
        <f>13232-V314</f>
        <v>5990</v>
      </c>
    </row>
    <row r="316" spans="1:22" ht="17.25" customHeight="1">
      <c r="A316" s="21">
        <v>34</v>
      </c>
      <c r="B316" s="39" t="s">
        <v>94</v>
      </c>
      <c r="C316" s="42" t="s">
        <v>95</v>
      </c>
      <c r="D316" s="77" t="s">
        <v>27</v>
      </c>
      <c r="E316" s="24">
        <v>3</v>
      </c>
      <c r="F316" s="24"/>
      <c r="G316" s="14"/>
      <c r="H316" s="11"/>
      <c r="I316" s="48"/>
      <c r="J316" s="49">
        <f>30/100*(E316+F316+G316)</f>
        <v>0.89999999999999991</v>
      </c>
      <c r="K316" s="50">
        <f>E316+F316+G316+H316+I316+J316</f>
        <v>3.9</v>
      </c>
      <c r="L316" s="51">
        <f>K316*1490000</f>
        <v>5811000</v>
      </c>
      <c r="M316" s="65"/>
      <c r="N316" s="65"/>
      <c r="O316" s="51">
        <f t="shared" si="133"/>
        <v>5811000</v>
      </c>
      <c r="P316" s="53">
        <f t="shared" ref="P316:P317" si="135">((E316+F316+G316+I316)*1490000-M316)*10.5%</f>
        <v>469350</v>
      </c>
      <c r="Q316" s="54"/>
      <c r="R316" s="53">
        <f t="shared" si="113"/>
        <v>469350</v>
      </c>
      <c r="S316" s="76">
        <f>O316-R316-N316</f>
        <v>5341650</v>
      </c>
      <c r="T316" s="41"/>
      <c r="V316">
        <f>V315-345</f>
        <v>5645</v>
      </c>
    </row>
    <row r="317" spans="1:22" ht="17.25" customHeight="1">
      <c r="A317" s="21">
        <v>35</v>
      </c>
      <c r="B317" s="39" t="s">
        <v>23</v>
      </c>
      <c r="C317" s="40" t="s">
        <v>49</v>
      </c>
      <c r="D317" s="55" t="s">
        <v>45</v>
      </c>
      <c r="E317" s="24">
        <v>3.34</v>
      </c>
      <c r="F317" s="24"/>
      <c r="G317" s="14"/>
      <c r="H317" s="24">
        <v>0.2</v>
      </c>
      <c r="I317" s="48"/>
      <c r="J317" s="49"/>
      <c r="K317" s="50">
        <f t="shared" ref="K317" si="136">E317+F317+G317+H317+I317+J317</f>
        <v>3.54</v>
      </c>
      <c r="L317" s="51">
        <f t="shared" ref="L317" si="137">K317*1490000</f>
        <v>5274600</v>
      </c>
      <c r="M317" s="53"/>
      <c r="N317" s="58"/>
      <c r="O317" s="51">
        <f t="shared" si="133"/>
        <v>5274600</v>
      </c>
      <c r="P317" s="53">
        <f t="shared" si="135"/>
        <v>522543</v>
      </c>
      <c r="Q317" s="54"/>
      <c r="R317" s="53">
        <f t="shared" si="113"/>
        <v>522543</v>
      </c>
      <c r="S317" s="76">
        <f>O317-R317</f>
        <v>4752057</v>
      </c>
      <c r="T317" s="41"/>
    </row>
    <row r="318" spans="1:22" ht="17.25" customHeight="1">
      <c r="A318" s="21">
        <v>36</v>
      </c>
      <c r="B318" s="39" t="s">
        <v>52</v>
      </c>
      <c r="C318" s="40" t="s">
        <v>50</v>
      </c>
      <c r="D318" s="77" t="s">
        <v>45</v>
      </c>
      <c r="E318" s="24">
        <v>2.86</v>
      </c>
      <c r="F318" s="24"/>
      <c r="G318" s="14"/>
      <c r="H318" s="24">
        <v>0.2</v>
      </c>
      <c r="I318" s="48"/>
      <c r="J318" s="49"/>
      <c r="K318" s="50">
        <f>E318+F318+G318+H318+I318+J318</f>
        <v>3.06</v>
      </c>
      <c r="L318" s="51">
        <f>K318*1490000</f>
        <v>4559400</v>
      </c>
      <c r="M318" s="53"/>
      <c r="N318" s="51"/>
      <c r="O318" s="51">
        <f t="shared" si="133"/>
        <v>4559400</v>
      </c>
      <c r="P318" s="53">
        <f>((E318+F318+G318+I318)*1490000)*10.5%</f>
        <v>447447</v>
      </c>
      <c r="Q318" s="53"/>
      <c r="R318" s="53">
        <f t="shared" si="113"/>
        <v>447447</v>
      </c>
      <c r="S318" s="76">
        <f>O318-R318</f>
        <v>4111953</v>
      </c>
      <c r="T318" s="41"/>
    </row>
    <row r="319" spans="1:22" ht="17.25" customHeight="1">
      <c r="A319" s="21">
        <v>37</v>
      </c>
      <c r="B319" s="39" t="s">
        <v>54</v>
      </c>
      <c r="C319" s="40" t="s">
        <v>51</v>
      </c>
      <c r="D319" s="77" t="s">
        <v>96</v>
      </c>
      <c r="E319" s="24"/>
      <c r="F319" s="24"/>
      <c r="G319" s="14"/>
      <c r="H319" s="11"/>
      <c r="I319" s="48"/>
      <c r="J319" s="49"/>
      <c r="K319" s="50"/>
      <c r="L319" s="51">
        <v>3920000</v>
      </c>
      <c r="M319" s="53"/>
      <c r="N319" s="58"/>
      <c r="O319" s="51">
        <f t="shared" si="133"/>
        <v>3920000</v>
      </c>
      <c r="P319" s="53">
        <f>O319*10.5%</f>
        <v>411600</v>
      </c>
      <c r="Q319" s="53"/>
      <c r="R319" s="53">
        <f t="shared" si="113"/>
        <v>411600</v>
      </c>
      <c r="S319" s="76">
        <f>O319-R319</f>
        <v>3508400</v>
      </c>
      <c r="T319" s="2"/>
    </row>
    <row r="320" spans="1:22" ht="17.25" customHeight="1">
      <c r="A320" s="2"/>
      <c r="B320" s="2"/>
      <c r="C320" s="3" t="s">
        <v>14</v>
      </c>
      <c r="D320" s="5"/>
      <c r="E320" s="27">
        <f t="shared" ref="E320" si="138">SUM(E283:E319)</f>
        <v>149.36999999999995</v>
      </c>
      <c r="F320" s="78">
        <f>SUM(F283:F319)</f>
        <v>2.1999999999999997</v>
      </c>
      <c r="G320" s="27">
        <f>SUM(G283:G319)</f>
        <v>0.84660000000000002</v>
      </c>
      <c r="H320" s="78">
        <f>SUM(H283:H319)</f>
        <v>0.60000000000000009</v>
      </c>
      <c r="I320" s="27">
        <f>SUM(I283:I319)</f>
        <v>26.230733999999998</v>
      </c>
      <c r="J320" s="27">
        <f t="shared" ref="J320" si="139">SUM(J283:J319)</f>
        <v>41.440980000000003</v>
      </c>
      <c r="K320" s="27">
        <f>SUM(K283:K319)</f>
        <v>220.68831400000008</v>
      </c>
      <c r="L320" s="28">
        <f t="shared" ref="L320:O320" si="140">SUM(L283:L319)</f>
        <v>332745587.86000001</v>
      </c>
      <c r="M320" s="75">
        <f t="shared" si="140"/>
        <v>0</v>
      </c>
      <c r="N320" s="75">
        <f t="shared" si="140"/>
        <v>0</v>
      </c>
      <c r="O320" s="28">
        <f t="shared" si="140"/>
        <v>332745587.86000001</v>
      </c>
      <c r="P320" s="28">
        <f>SUM(P283:P319)</f>
        <v>28261759.284300003</v>
      </c>
      <c r="Q320" s="28">
        <f>SUM(Q283:Q319)</f>
        <v>0</v>
      </c>
      <c r="R320" s="28">
        <f t="shared" ref="R320" si="141">SUM(R283:R319)</f>
        <v>28261759.284300003</v>
      </c>
      <c r="S320" s="32">
        <f>SUM(S283:S319)</f>
        <v>304483828.57570004</v>
      </c>
      <c r="T320" s="2"/>
    </row>
    <row r="321" spans="1:20" ht="11.25" customHeight="1">
      <c r="E321" s="9"/>
      <c r="F321" s="9"/>
      <c r="G321" s="9"/>
      <c r="H321" s="9"/>
      <c r="I321" s="19"/>
      <c r="J321" s="17"/>
    </row>
    <row r="322" spans="1:20">
      <c r="A322" s="1" t="s">
        <v>100</v>
      </c>
      <c r="D322" s="210" t="s">
        <v>247</v>
      </c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</row>
    <row r="323" spans="1:20" ht="15.75">
      <c r="A323" s="6"/>
      <c r="E323" s="9"/>
      <c r="F323" s="9"/>
      <c r="G323" s="9"/>
      <c r="H323" s="9"/>
      <c r="I323" s="19"/>
      <c r="J323" s="17"/>
      <c r="S323" s="15"/>
    </row>
    <row r="324" spans="1:20">
      <c r="A324" s="7"/>
      <c r="B324" s="7"/>
      <c r="C324" s="7"/>
      <c r="D324" s="211"/>
      <c r="E324" s="212"/>
      <c r="F324" s="212"/>
      <c r="G324" s="37"/>
      <c r="H324" s="37"/>
      <c r="I324" s="19"/>
      <c r="J324" s="17"/>
      <c r="N324" s="43"/>
      <c r="O324" s="43"/>
      <c r="P324" s="213" t="s">
        <v>237</v>
      </c>
      <c r="Q324" s="213"/>
      <c r="R324" s="213"/>
      <c r="S324" s="213"/>
    </row>
    <row r="325" spans="1:20">
      <c r="A325" s="214" t="s">
        <v>77</v>
      </c>
      <c r="B325" s="214"/>
      <c r="C325" s="214"/>
      <c r="D325" s="214"/>
      <c r="E325" s="214"/>
      <c r="F325" s="9"/>
      <c r="G325" s="44"/>
      <c r="H325" s="44"/>
      <c r="I325" s="19"/>
      <c r="J325" s="214" t="s">
        <v>79</v>
      </c>
      <c r="K325" s="214"/>
      <c r="L325" s="214"/>
      <c r="M325" s="214"/>
      <c r="P325" s="215" t="s">
        <v>65</v>
      </c>
      <c r="Q325" s="215"/>
      <c r="R325" s="215"/>
      <c r="S325" s="215"/>
    </row>
    <row r="326" spans="1:20">
      <c r="A326" s="216" t="s">
        <v>78</v>
      </c>
      <c r="B326" s="216"/>
      <c r="C326" s="216"/>
      <c r="D326" s="216"/>
      <c r="E326" s="9"/>
      <c r="F326" s="9"/>
      <c r="G326" s="9"/>
      <c r="H326" s="9"/>
      <c r="I326" s="19"/>
      <c r="J326" s="216" t="s">
        <v>80</v>
      </c>
      <c r="K326" s="216"/>
      <c r="L326" s="216"/>
      <c r="P326" s="217" t="s">
        <v>66</v>
      </c>
      <c r="Q326" s="217"/>
      <c r="R326" s="217"/>
      <c r="S326" s="217"/>
    </row>
    <row r="327" spans="1:20">
      <c r="E327" s="9"/>
      <c r="F327" s="9"/>
      <c r="G327" s="9"/>
      <c r="H327" s="9"/>
      <c r="I327" s="19"/>
      <c r="J327" s="17"/>
    </row>
    <row r="328" spans="1:20">
      <c r="C328" s="79"/>
      <c r="E328" s="9"/>
      <c r="F328" s="9"/>
      <c r="G328" s="9"/>
      <c r="H328" s="9"/>
      <c r="I328" s="19"/>
      <c r="J328" s="17"/>
    </row>
    <row r="329" spans="1:20" ht="15.75">
      <c r="C329" s="142"/>
      <c r="E329" s="9"/>
      <c r="F329" s="9"/>
      <c r="G329" s="9"/>
      <c r="H329" s="9"/>
      <c r="I329" s="19"/>
      <c r="J329" s="17"/>
      <c r="L329" s="12"/>
      <c r="P329" s="16"/>
    </row>
    <row r="330" spans="1:20" ht="15.75">
      <c r="C330" s="142"/>
      <c r="E330" s="9"/>
      <c r="F330" s="9"/>
      <c r="G330" s="9"/>
      <c r="H330" s="9"/>
      <c r="I330" s="19"/>
      <c r="J330" s="17"/>
    </row>
    <row r="331" spans="1:20" ht="15.75">
      <c r="B331" s="209"/>
      <c r="C331" s="209"/>
      <c r="D331" s="209"/>
      <c r="E331" s="9"/>
      <c r="F331" s="9"/>
      <c r="G331" s="9"/>
      <c r="H331" s="9"/>
      <c r="I331" s="19"/>
      <c r="J331" s="209" t="s">
        <v>59</v>
      </c>
      <c r="K331" s="209"/>
      <c r="L331" s="209"/>
      <c r="M331" s="209"/>
      <c r="P331" s="209" t="s">
        <v>81</v>
      </c>
      <c r="Q331" s="209"/>
      <c r="R331" s="209"/>
      <c r="S331" s="209"/>
    </row>
    <row r="333" spans="1:20" ht="15.75">
      <c r="C333" s="142"/>
    </row>
    <row r="334" spans="1:20" ht="15.75">
      <c r="C334" s="142"/>
    </row>
    <row r="335" spans="1:20">
      <c r="C335" s="8"/>
    </row>
    <row r="336" spans="1:20">
      <c r="C336" s="8"/>
    </row>
    <row r="337" spans="1:22">
      <c r="C337" s="8"/>
    </row>
    <row r="338" spans="1:22">
      <c r="C338" s="8"/>
    </row>
    <row r="339" spans="1:22">
      <c r="C339" s="8"/>
    </row>
    <row r="340" spans="1:22">
      <c r="C340" s="8"/>
    </row>
    <row r="341" spans="1:22" ht="15.75">
      <c r="A341" s="227" t="s">
        <v>55</v>
      </c>
      <c r="B341" s="227"/>
      <c r="C341" s="227"/>
      <c r="D341" s="227"/>
      <c r="E341" s="227"/>
      <c r="F341" s="227"/>
      <c r="G341" s="227"/>
      <c r="H341" s="227"/>
      <c r="I341" s="19"/>
      <c r="J341" s="17"/>
      <c r="Q341" s="228" t="s">
        <v>235</v>
      </c>
      <c r="R341" s="228"/>
      <c r="S341" s="228"/>
    </row>
    <row r="342" spans="1:22">
      <c r="A342" s="229" t="s">
        <v>67</v>
      </c>
      <c r="B342" s="229"/>
      <c r="C342" s="229"/>
      <c r="D342" s="229"/>
      <c r="E342" s="229"/>
      <c r="F342" s="229"/>
      <c r="G342" s="229"/>
      <c r="H342" s="9"/>
      <c r="I342" s="19"/>
      <c r="J342" s="17"/>
      <c r="R342" s="230" t="s">
        <v>68</v>
      </c>
      <c r="S342" s="230"/>
    </row>
    <row r="343" spans="1:22" ht="15.75">
      <c r="A343" s="227" t="s">
        <v>56</v>
      </c>
      <c r="B343" s="227"/>
      <c r="C343" s="227"/>
      <c r="D343" s="227"/>
      <c r="E343" s="227"/>
      <c r="F343" s="227"/>
      <c r="G343" s="227"/>
      <c r="H343" s="9"/>
      <c r="I343" s="19"/>
      <c r="J343" s="17"/>
      <c r="R343" s="29" t="s">
        <v>63</v>
      </c>
    </row>
    <row r="344" spans="1:22" ht="20.25">
      <c r="A344" s="231" t="s">
        <v>76</v>
      </c>
      <c r="B344" s="231"/>
      <c r="C344" s="231"/>
      <c r="D344" s="231"/>
      <c r="E344" s="231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</row>
    <row r="345" spans="1:22" ht="18.75">
      <c r="A345" s="232" t="s">
        <v>250</v>
      </c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</row>
    <row r="346" spans="1:22">
      <c r="A346" s="225" t="s">
        <v>0</v>
      </c>
      <c r="B346" s="226" t="s">
        <v>1</v>
      </c>
      <c r="C346" s="226" t="s">
        <v>2</v>
      </c>
      <c r="D346" s="226" t="s">
        <v>3</v>
      </c>
      <c r="E346" s="226" t="s">
        <v>20</v>
      </c>
      <c r="F346" s="226"/>
      <c r="G346" s="226"/>
      <c r="H346" s="226"/>
      <c r="I346" s="226"/>
      <c r="J346" s="226"/>
      <c r="K346" s="226"/>
      <c r="L346" s="226"/>
      <c r="M346" s="233" t="s">
        <v>9</v>
      </c>
      <c r="N346" s="233" t="s">
        <v>11</v>
      </c>
      <c r="O346" s="226" t="s">
        <v>12</v>
      </c>
      <c r="P346" s="234" t="s">
        <v>13</v>
      </c>
      <c r="Q346" s="235"/>
      <c r="R346" s="236"/>
      <c r="S346" s="226" t="s">
        <v>15</v>
      </c>
      <c r="T346" s="218" t="s">
        <v>57</v>
      </c>
    </row>
    <row r="347" spans="1:22">
      <c r="A347" s="225"/>
      <c r="B347" s="226"/>
      <c r="C347" s="226"/>
      <c r="D347" s="226"/>
      <c r="E347" s="221" t="s">
        <v>4</v>
      </c>
      <c r="F347" s="222" t="s">
        <v>5</v>
      </c>
      <c r="G347" s="223" t="s">
        <v>6</v>
      </c>
      <c r="H347" s="223"/>
      <c r="I347" s="223"/>
      <c r="J347" s="223"/>
      <c r="K347" s="224" t="s">
        <v>7</v>
      </c>
      <c r="L347" s="224" t="s">
        <v>8</v>
      </c>
      <c r="M347" s="233"/>
      <c r="N347" s="233"/>
      <c r="O347" s="226"/>
      <c r="P347" s="225" t="s">
        <v>10</v>
      </c>
      <c r="Q347" s="226" t="s">
        <v>85</v>
      </c>
      <c r="R347" s="225" t="s">
        <v>14</v>
      </c>
      <c r="S347" s="226"/>
      <c r="T347" s="219"/>
    </row>
    <row r="348" spans="1:22" ht="63">
      <c r="A348" s="225"/>
      <c r="B348" s="226"/>
      <c r="C348" s="226"/>
      <c r="D348" s="226"/>
      <c r="E348" s="221"/>
      <c r="F348" s="222"/>
      <c r="G348" s="143" t="s">
        <v>26</v>
      </c>
      <c r="H348" s="143" t="s">
        <v>86</v>
      </c>
      <c r="I348" s="20" t="s">
        <v>24</v>
      </c>
      <c r="J348" s="18" t="s">
        <v>25</v>
      </c>
      <c r="K348" s="224"/>
      <c r="L348" s="224"/>
      <c r="M348" s="233"/>
      <c r="N348" s="233"/>
      <c r="O348" s="226"/>
      <c r="P348" s="225"/>
      <c r="Q348" s="226"/>
      <c r="R348" s="225"/>
      <c r="S348" s="226"/>
      <c r="T348" s="220"/>
    </row>
    <row r="349" spans="1:22">
      <c r="A349" s="4" t="s">
        <v>16</v>
      </c>
      <c r="B349" s="4" t="s">
        <v>17</v>
      </c>
      <c r="C349" s="4" t="s">
        <v>18</v>
      </c>
      <c r="D349" s="4" t="s">
        <v>19</v>
      </c>
      <c r="E349" s="13">
        <v>1</v>
      </c>
      <c r="F349" s="13">
        <v>2</v>
      </c>
      <c r="G349" s="13">
        <v>3</v>
      </c>
      <c r="H349" s="13">
        <v>4</v>
      </c>
      <c r="I349" s="13">
        <v>5</v>
      </c>
      <c r="J349" s="23">
        <v>6</v>
      </c>
      <c r="K349" s="4">
        <v>7</v>
      </c>
      <c r="L349" s="4">
        <v>8</v>
      </c>
      <c r="M349" s="4">
        <v>9</v>
      </c>
      <c r="N349" s="4">
        <v>10</v>
      </c>
      <c r="O349" s="30" t="s">
        <v>87</v>
      </c>
      <c r="P349" s="30">
        <v>12</v>
      </c>
      <c r="Q349" s="30">
        <v>13</v>
      </c>
      <c r="R349" s="30">
        <v>14</v>
      </c>
      <c r="S349" s="30" t="s">
        <v>88</v>
      </c>
      <c r="T349" s="2"/>
    </row>
    <row r="350" spans="1:22" ht="17.25" customHeight="1">
      <c r="A350" s="21">
        <v>1</v>
      </c>
      <c r="B350" s="39" t="s">
        <v>89</v>
      </c>
      <c r="C350" s="42" t="s">
        <v>60</v>
      </c>
      <c r="D350" s="46" t="s">
        <v>61</v>
      </c>
      <c r="E350" s="47">
        <v>5.0199999999999996</v>
      </c>
      <c r="F350" s="47">
        <v>0.35</v>
      </c>
      <c r="G350" s="25"/>
      <c r="H350" s="22"/>
      <c r="I350" s="48">
        <f>(E350+F350+G350)*24/100</f>
        <v>1.2887999999999999</v>
      </c>
      <c r="J350" s="49">
        <f>30/100*(E350+F350+G350)</f>
        <v>1.6109999999999998</v>
      </c>
      <c r="K350" s="50">
        <f>E350+F350+G350+H350+I350+J350</f>
        <v>8.2698</v>
      </c>
      <c r="L350" s="51">
        <f>K350*1490000</f>
        <v>12322002</v>
      </c>
      <c r="M350" s="52"/>
      <c r="N350" s="52"/>
      <c r="O350" s="51">
        <f>L350-M350+N350</f>
        <v>12322002</v>
      </c>
      <c r="P350" s="53">
        <f>((E350+F350+G350+I350)*1490000-M350)*9.5%</f>
        <v>942553.14</v>
      </c>
      <c r="Q350" s="54"/>
      <c r="R350" s="53">
        <f>P350+Q350</f>
        <v>942553.14</v>
      </c>
      <c r="S350" s="53">
        <f>O350-R350</f>
        <v>11379448.859999999</v>
      </c>
      <c r="T350" s="41"/>
    </row>
    <row r="351" spans="1:22" ht="17.25" customHeight="1">
      <c r="A351" s="21">
        <v>2</v>
      </c>
      <c r="B351" s="39" t="s">
        <v>21</v>
      </c>
      <c r="C351" s="40" t="s">
        <v>28</v>
      </c>
      <c r="D351" s="55" t="s">
        <v>27</v>
      </c>
      <c r="E351" s="24">
        <v>4.9800000000000004</v>
      </c>
      <c r="F351" s="56"/>
      <c r="G351" s="57">
        <f>E351*7%</f>
        <v>0.34860000000000008</v>
      </c>
      <c r="H351" s="10"/>
      <c r="I351" s="48">
        <f>(E351+F351+G351)*26/100</f>
        <v>1.3854360000000003</v>
      </c>
      <c r="J351" s="49">
        <f>30/100*(E351+F351+G351)</f>
        <v>1.5985800000000001</v>
      </c>
      <c r="K351" s="50">
        <f>E351+F351+G351+H351+I351+J351</f>
        <v>8.312616000000002</v>
      </c>
      <c r="L351" s="51">
        <f>K351*1490000</f>
        <v>12385797.840000004</v>
      </c>
      <c r="M351" s="58"/>
      <c r="N351" s="58"/>
      <c r="O351" s="51">
        <f>L351-M351+N351</f>
        <v>12385797.840000004</v>
      </c>
      <c r="P351" s="53">
        <f>((E351+F351+G351+I351)*1490000-M351)*10.5%</f>
        <v>1050410.9321999999</v>
      </c>
      <c r="Q351" s="54"/>
      <c r="R351" s="53">
        <f t="shared" ref="R351:R386" si="142">P351+Q351</f>
        <v>1050410.9321999999</v>
      </c>
      <c r="S351" s="53">
        <f t="shared" ref="S351" si="143">O351-R351</f>
        <v>11335386.907800004</v>
      </c>
      <c r="T351" s="59">
        <v>7.0000000000000007E-2</v>
      </c>
      <c r="V351" s="8">
        <f>S351-S284</f>
        <v>105938.19540000148</v>
      </c>
    </row>
    <row r="352" spans="1:22" ht="17.25" customHeight="1">
      <c r="A352" s="21">
        <v>3</v>
      </c>
      <c r="B352" s="39" t="s">
        <v>22</v>
      </c>
      <c r="C352" s="40" t="s">
        <v>30</v>
      </c>
      <c r="D352" s="55" t="s">
        <v>90</v>
      </c>
      <c r="E352" s="24">
        <v>4.8899999999999997</v>
      </c>
      <c r="F352" s="47">
        <v>0.15</v>
      </c>
      <c r="G352" s="57"/>
      <c r="H352" s="10"/>
      <c r="I352" s="48">
        <f>(E352+F352+G352)*31/100</f>
        <v>1.5624</v>
      </c>
      <c r="J352" s="49">
        <f>30/100*(E352+F352+G352)</f>
        <v>1.512</v>
      </c>
      <c r="K352" s="50">
        <f t="shared" ref="K352:K376" si="144">E352+F352+G352+H352+I352+J352</f>
        <v>8.1143999999999998</v>
      </c>
      <c r="L352" s="51">
        <f t="shared" ref="L352:L376" si="145">K352*1490000</f>
        <v>12090456</v>
      </c>
      <c r="M352" s="58"/>
      <c r="N352" s="58"/>
      <c r="O352" s="51">
        <f t="shared" ref="O352:O369" si="146">L352-M352+N352</f>
        <v>12090456</v>
      </c>
      <c r="P352" s="53">
        <f t="shared" ref="P352:P359" si="147">((E352+F352+G352+I352)*1490000-M352)*10.5%</f>
        <v>1032945.48</v>
      </c>
      <c r="Q352" s="54"/>
      <c r="R352" s="53">
        <f t="shared" si="142"/>
        <v>1032945.48</v>
      </c>
      <c r="S352" s="53">
        <f>O352-R352</f>
        <v>11057510.52</v>
      </c>
      <c r="T352" s="2"/>
    </row>
    <row r="353" spans="1:22" ht="17.25" customHeight="1">
      <c r="A353" s="21">
        <v>4</v>
      </c>
      <c r="B353" s="39" t="s">
        <v>21</v>
      </c>
      <c r="C353" s="40" t="s">
        <v>32</v>
      </c>
      <c r="D353" s="55" t="s">
        <v>29</v>
      </c>
      <c r="E353" s="24">
        <v>4.9800000000000004</v>
      </c>
      <c r="F353" s="47">
        <v>0.2</v>
      </c>
      <c r="G353" s="57">
        <f>E353*5%</f>
        <v>0.24900000000000003</v>
      </c>
      <c r="H353" s="10"/>
      <c r="I353" s="48">
        <f>(E353+F353+G353)*23%</f>
        <v>1.2486700000000002</v>
      </c>
      <c r="J353" s="49">
        <f t="shared" ref="J353" si="148">30/100*(E353+F353+G353)</f>
        <v>1.6287</v>
      </c>
      <c r="K353" s="50">
        <f t="shared" si="144"/>
        <v>8.3063700000000011</v>
      </c>
      <c r="L353" s="51">
        <f t="shared" si="145"/>
        <v>12376491.300000003</v>
      </c>
      <c r="M353" s="58"/>
      <c r="N353" s="58"/>
      <c r="O353" s="51">
        <f t="shared" si="146"/>
        <v>12376491.300000003</v>
      </c>
      <c r="P353" s="53">
        <f t="shared" si="147"/>
        <v>1044721.4715</v>
      </c>
      <c r="Q353" s="54"/>
      <c r="R353" s="53">
        <f t="shared" si="142"/>
        <v>1044721.4715</v>
      </c>
      <c r="S353" s="53">
        <f t="shared" ref="S353:S355" si="149">O353-R353</f>
        <v>11331769.828500003</v>
      </c>
      <c r="T353" s="59">
        <v>0.05</v>
      </c>
    </row>
    <row r="354" spans="1:22" ht="17.25" customHeight="1">
      <c r="A354" s="21">
        <v>5</v>
      </c>
      <c r="B354" s="39" t="s">
        <v>21</v>
      </c>
      <c r="C354" s="40" t="s">
        <v>82</v>
      </c>
      <c r="D354" s="55" t="s">
        <v>29</v>
      </c>
      <c r="E354" s="24">
        <v>4.9800000000000004</v>
      </c>
      <c r="F354" s="47">
        <v>0.2</v>
      </c>
      <c r="G354" s="57">
        <f>E354*7%</f>
        <v>0.34860000000000008</v>
      </c>
      <c r="H354" s="10"/>
      <c r="I354" s="48">
        <f>(E354+F354+G354)*27%</f>
        <v>1.4927220000000003</v>
      </c>
      <c r="J354" s="49">
        <f>30/100*(E354+F354+G354)</f>
        <v>1.6585800000000002</v>
      </c>
      <c r="K354" s="50">
        <f t="shared" si="144"/>
        <v>8.679902000000002</v>
      </c>
      <c r="L354" s="51">
        <f t="shared" si="145"/>
        <v>12933053.980000002</v>
      </c>
      <c r="M354" s="58"/>
      <c r="N354" s="58"/>
      <c r="O354" s="51">
        <f t="shared" si="146"/>
        <v>12933053.980000002</v>
      </c>
      <c r="P354" s="53">
        <f t="shared" si="147"/>
        <v>1098485.8269</v>
      </c>
      <c r="Q354" s="54"/>
      <c r="R354" s="53">
        <f t="shared" si="142"/>
        <v>1098485.8269</v>
      </c>
      <c r="S354" s="53">
        <f>O354-R354</f>
        <v>11834568.153100003</v>
      </c>
      <c r="T354" s="59">
        <v>7.0000000000000007E-2</v>
      </c>
      <c r="V354" s="8">
        <f>S354-S287</f>
        <v>106602.30330000073</v>
      </c>
    </row>
    <row r="355" spans="1:22" ht="17.25" customHeight="1">
      <c r="A355" s="21">
        <v>6</v>
      </c>
      <c r="B355" s="39" t="s">
        <v>21</v>
      </c>
      <c r="C355" s="40" t="s">
        <v>84</v>
      </c>
      <c r="D355" s="55" t="s">
        <v>62</v>
      </c>
      <c r="E355" s="24">
        <v>4.9800000000000004</v>
      </c>
      <c r="F355" s="47">
        <v>0.25</v>
      </c>
      <c r="G355" s="14"/>
      <c r="H355" s="10"/>
      <c r="I355" s="48">
        <f>(E355+F355+G355)*21%</f>
        <v>1.0983000000000001</v>
      </c>
      <c r="J355" s="49">
        <f t="shared" ref="J355" si="150">30/100*(E355+F355+G355)</f>
        <v>1.5690000000000002</v>
      </c>
      <c r="K355" s="50">
        <f t="shared" si="144"/>
        <v>7.8973000000000004</v>
      </c>
      <c r="L355" s="51">
        <f t="shared" si="145"/>
        <v>11766977</v>
      </c>
      <c r="M355" s="58"/>
      <c r="N355" s="58"/>
      <c r="O355" s="51">
        <f t="shared" si="146"/>
        <v>11766977</v>
      </c>
      <c r="P355" s="53">
        <f t="shared" si="147"/>
        <v>990062.53499999992</v>
      </c>
      <c r="Q355" s="54"/>
      <c r="R355" s="53">
        <f t="shared" si="142"/>
        <v>990062.53499999992</v>
      </c>
      <c r="S355" s="53">
        <f t="shared" si="149"/>
        <v>10776914.465</v>
      </c>
      <c r="T355" s="41"/>
      <c r="V355" s="8">
        <f>S355-S288</f>
        <v>679996.5150000006</v>
      </c>
    </row>
    <row r="356" spans="1:22" ht="17.25" customHeight="1">
      <c r="A356" s="21">
        <v>7</v>
      </c>
      <c r="B356" s="39" t="s">
        <v>22</v>
      </c>
      <c r="C356" s="42" t="s">
        <v>31</v>
      </c>
      <c r="D356" s="55" t="s">
        <v>27</v>
      </c>
      <c r="E356" s="24">
        <v>4.8899999999999997</v>
      </c>
      <c r="F356" s="47"/>
      <c r="G356" s="57"/>
      <c r="H356" s="10"/>
      <c r="I356" s="48">
        <f>(E356+F356+G356)*27/100</f>
        <v>1.3203</v>
      </c>
      <c r="J356" s="49">
        <f>30/100*(E356+F356+G356)</f>
        <v>1.4669999999999999</v>
      </c>
      <c r="K356" s="50">
        <f t="shared" si="144"/>
        <v>7.6772999999999998</v>
      </c>
      <c r="L356" s="51">
        <f t="shared" si="145"/>
        <v>11439177</v>
      </c>
      <c r="M356" s="58"/>
      <c r="N356" s="58"/>
      <c r="O356" s="51">
        <f t="shared" si="146"/>
        <v>11439177</v>
      </c>
      <c r="P356" s="53">
        <f t="shared" si="147"/>
        <v>971601.43499999994</v>
      </c>
      <c r="Q356" s="54"/>
      <c r="R356" s="53">
        <f t="shared" si="142"/>
        <v>971601.43499999994</v>
      </c>
      <c r="S356" s="53">
        <f>O356-R356</f>
        <v>10467575.564999999</v>
      </c>
      <c r="T356" s="41"/>
    </row>
    <row r="357" spans="1:22" ht="17.25" customHeight="1">
      <c r="A357" s="21">
        <v>8</v>
      </c>
      <c r="B357" s="39" t="s">
        <v>21</v>
      </c>
      <c r="C357" s="26" t="s">
        <v>70</v>
      </c>
      <c r="D357" s="55" t="s">
        <v>27</v>
      </c>
      <c r="E357" s="24">
        <v>4.9800000000000004</v>
      </c>
      <c r="F357" s="47"/>
      <c r="G357" s="14"/>
      <c r="H357" s="10"/>
      <c r="I357" s="48">
        <f>(E357+F357+G357)*22/100</f>
        <v>1.0956000000000001</v>
      </c>
      <c r="J357" s="49">
        <f t="shared" ref="J357:J359" si="151">30/100*(E357+F357+G357)</f>
        <v>1.494</v>
      </c>
      <c r="K357" s="50">
        <f t="shared" si="144"/>
        <v>7.5696000000000003</v>
      </c>
      <c r="L357" s="51">
        <f t="shared" si="145"/>
        <v>11278704</v>
      </c>
      <c r="M357" s="58"/>
      <c r="N357" s="58"/>
      <c r="O357" s="51">
        <f t="shared" si="146"/>
        <v>11278704</v>
      </c>
      <c r="P357" s="53">
        <f>((E357+F357+G357+I357)*1490000-M357)*10.5%</f>
        <v>950527.62</v>
      </c>
      <c r="Q357" s="54"/>
      <c r="R357" s="53">
        <f t="shared" si="142"/>
        <v>950527.62</v>
      </c>
      <c r="S357" s="53">
        <f>O357-R357</f>
        <v>10328176.380000001</v>
      </c>
      <c r="T357" s="150" t="s">
        <v>251</v>
      </c>
      <c r="V357" s="8">
        <f>S357-S290</f>
        <v>684397.23000000045</v>
      </c>
    </row>
    <row r="358" spans="1:22" ht="17.25" customHeight="1">
      <c r="A358" s="21">
        <v>9</v>
      </c>
      <c r="B358" s="39" t="s">
        <v>21</v>
      </c>
      <c r="C358" s="26" t="s">
        <v>33</v>
      </c>
      <c r="D358" s="55" t="s">
        <v>29</v>
      </c>
      <c r="E358" s="24">
        <v>4.6500000000000004</v>
      </c>
      <c r="F358" s="47">
        <v>0.2</v>
      </c>
      <c r="G358" s="14"/>
      <c r="H358" s="10"/>
      <c r="I358" s="48">
        <f>(E358+F358+G358)*21/100</f>
        <v>1.0185000000000002</v>
      </c>
      <c r="J358" s="49">
        <f t="shared" si="151"/>
        <v>1.4550000000000001</v>
      </c>
      <c r="K358" s="50">
        <f t="shared" si="144"/>
        <v>7.323500000000001</v>
      </c>
      <c r="L358" s="51">
        <f t="shared" si="145"/>
        <v>10912015.000000002</v>
      </c>
      <c r="M358" s="58"/>
      <c r="N358" s="58"/>
      <c r="O358" s="51">
        <f t="shared" si="146"/>
        <v>10912015.000000002</v>
      </c>
      <c r="P358" s="53">
        <f t="shared" si="147"/>
        <v>918126.82500000019</v>
      </c>
      <c r="Q358" s="54"/>
      <c r="R358" s="53">
        <f t="shared" si="142"/>
        <v>918126.82500000019</v>
      </c>
      <c r="S358" s="53">
        <f t="shared" ref="S358:S360" si="152">O358-R358</f>
        <v>9993888.1750000007</v>
      </c>
      <c r="T358" s="150"/>
    </row>
    <row r="359" spans="1:22" ht="17.25" customHeight="1">
      <c r="A359" s="21">
        <v>10</v>
      </c>
      <c r="B359" s="39" t="s">
        <v>21</v>
      </c>
      <c r="C359" s="26" t="s">
        <v>34</v>
      </c>
      <c r="D359" s="55" t="s">
        <v>27</v>
      </c>
      <c r="E359" s="24">
        <v>4.32</v>
      </c>
      <c r="F359" s="47"/>
      <c r="G359" s="14"/>
      <c r="H359" s="10"/>
      <c r="I359" s="48">
        <f>(E359+F359+G359)*18/100</f>
        <v>0.77760000000000007</v>
      </c>
      <c r="J359" s="49">
        <f t="shared" si="151"/>
        <v>1.296</v>
      </c>
      <c r="K359" s="50">
        <f t="shared" si="144"/>
        <v>6.3936000000000002</v>
      </c>
      <c r="L359" s="51">
        <f t="shared" si="145"/>
        <v>9526464</v>
      </c>
      <c r="M359" s="58"/>
      <c r="N359" s="58"/>
      <c r="O359" s="51">
        <f t="shared" si="146"/>
        <v>9526464</v>
      </c>
      <c r="P359" s="53">
        <f t="shared" si="147"/>
        <v>797519.52</v>
      </c>
      <c r="Q359" s="54"/>
      <c r="R359" s="53">
        <f t="shared" si="142"/>
        <v>797519.52</v>
      </c>
      <c r="S359" s="53">
        <f t="shared" si="152"/>
        <v>8728944.4800000004</v>
      </c>
      <c r="T359" s="150"/>
    </row>
    <row r="360" spans="1:22" ht="17.25" customHeight="1">
      <c r="A360" s="21">
        <v>11</v>
      </c>
      <c r="B360" s="39" t="s">
        <v>21</v>
      </c>
      <c r="C360" s="42" t="s">
        <v>36</v>
      </c>
      <c r="D360" s="55" t="s">
        <v>29</v>
      </c>
      <c r="E360" s="24">
        <v>4.32</v>
      </c>
      <c r="F360" s="47">
        <v>0.2</v>
      </c>
      <c r="G360" s="33"/>
      <c r="H360" s="35"/>
      <c r="I360" s="48">
        <f>(E360+F360+G360)*20%</f>
        <v>0.90400000000000014</v>
      </c>
      <c r="J360" s="49">
        <f>30/100*(E360+F360+G360)</f>
        <v>1.3560000000000001</v>
      </c>
      <c r="K360" s="50">
        <f t="shared" si="144"/>
        <v>6.78</v>
      </c>
      <c r="L360" s="51">
        <f t="shared" si="145"/>
        <v>10102200</v>
      </c>
      <c r="M360" s="58"/>
      <c r="N360" s="58"/>
      <c r="O360" s="51">
        <f t="shared" si="146"/>
        <v>10102200</v>
      </c>
      <c r="P360" s="53">
        <f>((E360+F360+G360+I360)*1490000-M360)*10.5%</f>
        <v>848584.8</v>
      </c>
      <c r="Q360" s="54"/>
      <c r="R360" s="53">
        <f t="shared" si="142"/>
        <v>848584.8</v>
      </c>
      <c r="S360" s="53">
        <f t="shared" si="152"/>
        <v>9253615.1999999993</v>
      </c>
      <c r="T360" s="151"/>
    </row>
    <row r="361" spans="1:22" ht="17.25" customHeight="1">
      <c r="A361" s="21">
        <v>12</v>
      </c>
      <c r="B361" s="39" t="s">
        <v>64</v>
      </c>
      <c r="C361" s="26" t="s">
        <v>59</v>
      </c>
      <c r="D361" s="55" t="s">
        <v>35</v>
      </c>
      <c r="E361" s="24">
        <v>4.2699999999999996</v>
      </c>
      <c r="F361" s="47">
        <v>0.2</v>
      </c>
      <c r="G361" s="33"/>
      <c r="H361" s="34">
        <v>0.1</v>
      </c>
      <c r="I361" s="48"/>
      <c r="J361" s="49"/>
      <c r="K361" s="50">
        <f t="shared" si="144"/>
        <v>4.5699999999999994</v>
      </c>
      <c r="L361" s="51">
        <f t="shared" si="145"/>
        <v>6809299.9999999991</v>
      </c>
      <c r="M361" s="58"/>
      <c r="N361" s="58"/>
      <c r="O361" s="51">
        <f t="shared" si="146"/>
        <v>6809299.9999999991</v>
      </c>
      <c r="P361" s="53">
        <f>((E361+F361+G361+I361)*1490000-M361)*10.5%</f>
        <v>699331.5</v>
      </c>
      <c r="Q361" s="54"/>
      <c r="R361" s="53">
        <f t="shared" si="142"/>
        <v>699331.5</v>
      </c>
      <c r="S361" s="53">
        <f>O361-R361</f>
        <v>6109968.4999999991</v>
      </c>
      <c r="T361" s="151"/>
    </row>
    <row r="362" spans="1:22" ht="17.25" customHeight="1">
      <c r="A362" s="21">
        <v>13</v>
      </c>
      <c r="B362" s="39" t="s">
        <v>21</v>
      </c>
      <c r="C362" s="40" t="s">
        <v>69</v>
      </c>
      <c r="D362" s="55" t="s">
        <v>27</v>
      </c>
      <c r="E362" s="24">
        <v>4.6500000000000004</v>
      </c>
      <c r="F362" s="47"/>
      <c r="G362" s="33"/>
      <c r="H362" s="35"/>
      <c r="I362" s="48">
        <f>(E362+F362+G362)*20/100</f>
        <v>0.93</v>
      </c>
      <c r="J362" s="49">
        <f>30/100*(E362+F362+G362)</f>
        <v>1.395</v>
      </c>
      <c r="K362" s="50">
        <f t="shared" si="144"/>
        <v>6.9749999999999996</v>
      </c>
      <c r="L362" s="51">
        <f t="shared" si="145"/>
        <v>10392750</v>
      </c>
      <c r="M362" s="58"/>
      <c r="N362" s="58"/>
      <c r="O362" s="51">
        <f t="shared" si="146"/>
        <v>10392750</v>
      </c>
      <c r="P362" s="53">
        <f t="shared" ref="P362:P380" si="153">((E362+F362+G362+I362)*1490000-M362)*10.5%</f>
        <v>872991</v>
      </c>
      <c r="Q362" s="54"/>
      <c r="R362" s="53">
        <f t="shared" si="142"/>
        <v>872991</v>
      </c>
      <c r="S362" s="53">
        <f t="shared" ref="S362:S369" si="154">O362-R362</f>
        <v>9519759</v>
      </c>
      <c r="T362" s="150" t="s">
        <v>251</v>
      </c>
      <c r="V362" s="8">
        <f>S362-S295</f>
        <v>675595.80000000075</v>
      </c>
    </row>
    <row r="363" spans="1:22" ht="17.25" customHeight="1">
      <c r="A363" s="21">
        <v>14</v>
      </c>
      <c r="B363" s="39" t="s">
        <v>21</v>
      </c>
      <c r="C363" s="40" t="s">
        <v>37</v>
      </c>
      <c r="D363" s="55" t="s">
        <v>27</v>
      </c>
      <c r="E363" s="24">
        <v>4.32</v>
      </c>
      <c r="F363" s="24"/>
      <c r="G363" s="33"/>
      <c r="H363" s="35"/>
      <c r="I363" s="48">
        <f>(E363+F363+G363)*20/100</f>
        <v>0.8640000000000001</v>
      </c>
      <c r="J363" s="49">
        <f>30/100*(E363+F363+G363)</f>
        <v>1.296</v>
      </c>
      <c r="K363" s="50">
        <f t="shared" si="144"/>
        <v>6.48</v>
      </c>
      <c r="L363" s="51">
        <f t="shared" si="145"/>
        <v>9655200</v>
      </c>
      <c r="M363" s="58"/>
      <c r="N363" s="58"/>
      <c r="O363" s="51">
        <f t="shared" si="146"/>
        <v>9655200</v>
      </c>
      <c r="P363" s="53">
        <f t="shared" si="153"/>
        <v>811036.79999999993</v>
      </c>
      <c r="Q363" s="54"/>
      <c r="R363" s="53">
        <f t="shared" si="142"/>
        <v>811036.79999999993</v>
      </c>
      <c r="S363" s="53">
        <f t="shared" si="154"/>
        <v>8844163.1999999993</v>
      </c>
      <c r="T363" s="2"/>
      <c r="V363" s="8">
        <f>SUM(V351:V362)</f>
        <v>2252530.043700004</v>
      </c>
    </row>
    <row r="364" spans="1:22" ht="17.25" customHeight="1">
      <c r="A364" s="21">
        <v>15</v>
      </c>
      <c r="B364" s="39" t="s">
        <v>21</v>
      </c>
      <c r="C364" s="40" t="s">
        <v>71</v>
      </c>
      <c r="D364" s="55" t="s">
        <v>27</v>
      </c>
      <c r="E364" s="24">
        <v>4.32</v>
      </c>
      <c r="F364" s="24"/>
      <c r="G364" s="33"/>
      <c r="H364" s="35"/>
      <c r="I364" s="48">
        <f>(E364+F364+G364)*19/100</f>
        <v>0.82080000000000009</v>
      </c>
      <c r="J364" s="49">
        <f t="shared" ref="J364:J366" si="155">30/100*(E364+F364+G364)</f>
        <v>1.296</v>
      </c>
      <c r="K364" s="50">
        <f t="shared" si="144"/>
        <v>6.4368000000000007</v>
      </c>
      <c r="L364" s="51">
        <f t="shared" si="145"/>
        <v>9590832.0000000019</v>
      </c>
      <c r="M364" s="58"/>
      <c r="N364" s="58"/>
      <c r="O364" s="51">
        <f t="shared" si="146"/>
        <v>9590832.0000000019</v>
      </c>
      <c r="P364" s="53">
        <f t="shared" si="153"/>
        <v>804278.16</v>
      </c>
      <c r="Q364" s="54"/>
      <c r="R364" s="53">
        <f t="shared" si="142"/>
        <v>804278.16</v>
      </c>
      <c r="S364" s="53">
        <f t="shared" si="154"/>
        <v>8786553.8400000017</v>
      </c>
      <c r="T364" s="41"/>
    </row>
    <row r="365" spans="1:22" ht="17.25" customHeight="1">
      <c r="A365" s="21">
        <v>16</v>
      </c>
      <c r="B365" s="39" t="s">
        <v>21</v>
      </c>
      <c r="C365" s="40" t="s">
        <v>38</v>
      </c>
      <c r="D365" s="55" t="s">
        <v>27</v>
      </c>
      <c r="E365" s="24">
        <v>4.32</v>
      </c>
      <c r="F365" s="24"/>
      <c r="G365" s="33"/>
      <c r="H365" s="35"/>
      <c r="I365" s="48">
        <f>(E365+F365+G365)*18%</f>
        <v>0.77760000000000007</v>
      </c>
      <c r="J365" s="49">
        <f t="shared" si="155"/>
        <v>1.296</v>
      </c>
      <c r="K365" s="50">
        <f t="shared" si="144"/>
        <v>6.3936000000000002</v>
      </c>
      <c r="L365" s="51">
        <f t="shared" si="145"/>
        <v>9526464</v>
      </c>
      <c r="M365" s="58"/>
      <c r="N365" s="58"/>
      <c r="O365" s="51">
        <f t="shared" si="146"/>
        <v>9526464</v>
      </c>
      <c r="P365" s="53">
        <f t="shared" si="153"/>
        <v>797519.52</v>
      </c>
      <c r="Q365" s="54"/>
      <c r="R365" s="53">
        <f t="shared" si="142"/>
        <v>797519.52</v>
      </c>
      <c r="S365" s="53">
        <f t="shared" si="154"/>
        <v>8728944.4800000004</v>
      </c>
      <c r="T365" s="41"/>
    </row>
    <row r="366" spans="1:22" ht="17.25" customHeight="1">
      <c r="A366" s="21">
        <v>17</v>
      </c>
      <c r="B366" s="39" t="s">
        <v>21</v>
      </c>
      <c r="C366" s="40" t="s">
        <v>72</v>
      </c>
      <c r="D366" s="55" t="s">
        <v>27</v>
      </c>
      <c r="E366" s="24">
        <v>4.32</v>
      </c>
      <c r="F366" s="24"/>
      <c r="G366" s="33"/>
      <c r="H366" s="35"/>
      <c r="I366" s="48">
        <f>(E366+F366+G366)*18%</f>
        <v>0.77760000000000007</v>
      </c>
      <c r="J366" s="49">
        <f t="shared" si="155"/>
        <v>1.296</v>
      </c>
      <c r="K366" s="50">
        <f t="shared" si="144"/>
        <v>6.3936000000000002</v>
      </c>
      <c r="L366" s="51">
        <f t="shared" si="145"/>
        <v>9526464</v>
      </c>
      <c r="M366" s="58"/>
      <c r="N366" s="58"/>
      <c r="O366" s="51">
        <f t="shared" si="146"/>
        <v>9526464</v>
      </c>
      <c r="P366" s="53">
        <f t="shared" si="153"/>
        <v>797519.52</v>
      </c>
      <c r="Q366" s="54"/>
      <c r="R366" s="53">
        <f t="shared" si="142"/>
        <v>797519.52</v>
      </c>
      <c r="S366" s="53">
        <f t="shared" si="154"/>
        <v>8728944.4800000004</v>
      </c>
      <c r="T366" s="41"/>
    </row>
    <row r="367" spans="1:22" ht="17.25" customHeight="1">
      <c r="A367" s="21">
        <v>18</v>
      </c>
      <c r="B367" s="39" t="s">
        <v>21</v>
      </c>
      <c r="C367" s="40" t="s">
        <v>91</v>
      </c>
      <c r="D367" s="55" t="s">
        <v>27</v>
      </c>
      <c r="E367" s="24">
        <v>4.32</v>
      </c>
      <c r="F367" s="24">
        <v>0.15</v>
      </c>
      <c r="G367" s="60"/>
      <c r="H367" s="35"/>
      <c r="I367" s="48">
        <f>(E367+F367+G367)*19%</f>
        <v>0.84930000000000017</v>
      </c>
      <c r="J367" s="49">
        <f>30/100*(E367+F367+G367)</f>
        <v>1.3410000000000002</v>
      </c>
      <c r="K367" s="61">
        <f t="shared" si="144"/>
        <v>6.6603000000000012</v>
      </c>
      <c r="L367" s="62">
        <f t="shared" si="145"/>
        <v>9923847.0000000019</v>
      </c>
      <c r="M367" s="63"/>
      <c r="N367" s="63"/>
      <c r="O367" s="62">
        <f t="shared" si="146"/>
        <v>9923847.0000000019</v>
      </c>
      <c r="P367" s="64">
        <f t="shared" si="153"/>
        <v>832204.48500000022</v>
      </c>
      <c r="Q367" s="54"/>
      <c r="R367" s="64">
        <f t="shared" si="142"/>
        <v>832204.48500000022</v>
      </c>
      <c r="S367" s="64">
        <f t="shared" si="154"/>
        <v>9091642.5150000025</v>
      </c>
      <c r="T367" s="41"/>
    </row>
    <row r="368" spans="1:22" ht="17.25" customHeight="1">
      <c r="A368" s="21">
        <v>19</v>
      </c>
      <c r="B368" s="39" t="s">
        <v>21</v>
      </c>
      <c r="C368" s="40" t="s">
        <v>39</v>
      </c>
      <c r="D368" s="55" t="s">
        <v>27</v>
      </c>
      <c r="E368" s="24">
        <v>4.32</v>
      </c>
      <c r="F368" s="24"/>
      <c r="G368" s="33"/>
      <c r="H368" s="36"/>
      <c r="I368" s="48">
        <f>(E368+F368+G368)*21%</f>
        <v>0.90720000000000001</v>
      </c>
      <c r="J368" s="49">
        <f>30/100*(E368+F368+G368)</f>
        <v>1.296</v>
      </c>
      <c r="K368" s="50">
        <f t="shared" si="144"/>
        <v>6.5232000000000001</v>
      </c>
      <c r="L368" s="51">
        <f t="shared" si="145"/>
        <v>9719568</v>
      </c>
      <c r="M368" s="58"/>
      <c r="N368" s="58"/>
      <c r="O368" s="51">
        <f t="shared" si="146"/>
        <v>9719568</v>
      </c>
      <c r="P368" s="53">
        <f t="shared" si="153"/>
        <v>817795.44</v>
      </c>
      <c r="Q368" s="54"/>
      <c r="R368" s="53">
        <f t="shared" si="142"/>
        <v>817795.44</v>
      </c>
      <c r="S368" s="53">
        <f t="shared" si="154"/>
        <v>8901772.5600000005</v>
      </c>
      <c r="T368" s="41"/>
    </row>
    <row r="369" spans="1:22" ht="17.25" customHeight="1">
      <c r="A369" s="21">
        <v>20</v>
      </c>
      <c r="B369" s="39" t="s">
        <v>22</v>
      </c>
      <c r="C369" s="40" t="s">
        <v>40</v>
      </c>
      <c r="D369" s="55" t="s">
        <v>90</v>
      </c>
      <c r="E369" s="24">
        <v>3.96</v>
      </c>
      <c r="F369" s="24">
        <v>0.15</v>
      </c>
      <c r="G369" s="33"/>
      <c r="H369" s="36"/>
      <c r="I369" s="48">
        <f>(E369+F369+G369)*18/100</f>
        <v>0.73980000000000001</v>
      </c>
      <c r="J369" s="49">
        <f t="shared" ref="J369" si="156">30/100*(E369+F369+G369)</f>
        <v>1.2330000000000001</v>
      </c>
      <c r="K369" s="50">
        <f t="shared" si="144"/>
        <v>6.0828000000000007</v>
      </c>
      <c r="L369" s="51">
        <f t="shared" si="145"/>
        <v>9063372.0000000019</v>
      </c>
      <c r="M369" s="58"/>
      <c r="N369" s="58"/>
      <c r="O369" s="51">
        <f t="shared" si="146"/>
        <v>9063372.0000000019</v>
      </c>
      <c r="P369" s="53">
        <f t="shared" si="153"/>
        <v>758751.21</v>
      </c>
      <c r="Q369" s="54"/>
      <c r="R369" s="53">
        <f t="shared" si="142"/>
        <v>758751.21</v>
      </c>
      <c r="S369" s="53">
        <f t="shared" si="154"/>
        <v>8304620.7900000019</v>
      </c>
      <c r="T369" s="41"/>
      <c r="V369" s="8"/>
    </row>
    <row r="370" spans="1:22" ht="17.25" customHeight="1">
      <c r="A370" s="21">
        <v>21</v>
      </c>
      <c r="B370" s="39" t="s">
        <v>21</v>
      </c>
      <c r="C370" s="40" t="s">
        <v>73</v>
      </c>
      <c r="D370" s="55" t="s">
        <v>27</v>
      </c>
      <c r="E370" s="24">
        <v>3.99</v>
      </c>
      <c r="F370" s="24"/>
      <c r="G370" s="14"/>
      <c r="H370" s="10"/>
      <c r="I370" s="48">
        <f>(E370+F370+G370)*17%</f>
        <v>0.67830000000000013</v>
      </c>
      <c r="J370" s="49">
        <f>30/100*(E370+F370+G370)</f>
        <v>1.1970000000000001</v>
      </c>
      <c r="K370" s="50">
        <f t="shared" si="144"/>
        <v>5.8653000000000004</v>
      </c>
      <c r="L370" s="51">
        <f t="shared" si="145"/>
        <v>8739297</v>
      </c>
      <c r="M370" s="65"/>
      <c r="N370" s="65"/>
      <c r="O370" s="51">
        <f>L370-M370+N370</f>
        <v>8739297</v>
      </c>
      <c r="P370" s="53">
        <f t="shared" si="153"/>
        <v>730355.53500000003</v>
      </c>
      <c r="Q370" s="54"/>
      <c r="R370" s="53">
        <f t="shared" si="142"/>
        <v>730355.53500000003</v>
      </c>
      <c r="S370" s="53">
        <f>O370-R370-N370</f>
        <v>8008941.4649999999</v>
      </c>
      <c r="T370" s="41"/>
    </row>
    <row r="371" spans="1:22" ht="17.25" customHeight="1">
      <c r="A371" s="21">
        <v>22</v>
      </c>
      <c r="B371" s="39" t="s">
        <v>21</v>
      </c>
      <c r="C371" s="40" t="s">
        <v>41</v>
      </c>
      <c r="D371" s="55" t="s">
        <v>27</v>
      </c>
      <c r="E371" s="24">
        <v>3.99</v>
      </c>
      <c r="F371" s="56"/>
      <c r="G371" s="14"/>
      <c r="H371" s="10"/>
      <c r="I371" s="48">
        <f>(E371+F371+G371)*17/100</f>
        <v>0.67830000000000001</v>
      </c>
      <c r="J371" s="49">
        <f t="shared" ref="J371:J376" si="157">30/100*(E371+F371+G371)</f>
        <v>1.1970000000000001</v>
      </c>
      <c r="K371" s="50">
        <f t="shared" si="144"/>
        <v>5.8653000000000004</v>
      </c>
      <c r="L371" s="51">
        <f t="shared" si="145"/>
        <v>8739297</v>
      </c>
      <c r="M371" s="58"/>
      <c r="N371" s="58"/>
      <c r="O371" s="51">
        <f t="shared" ref="O371:O376" si="158">L371-M371+N371</f>
        <v>8739297</v>
      </c>
      <c r="P371" s="53">
        <f t="shared" si="153"/>
        <v>730355.53500000003</v>
      </c>
      <c r="Q371" s="54"/>
      <c r="R371" s="53">
        <f t="shared" si="142"/>
        <v>730355.53500000003</v>
      </c>
      <c r="S371" s="53">
        <f t="shared" ref="S371:S374" si="159">O371-R371</f>
        <v>8008941.4649999999</v>
      </c>
      <c r="T371" s="41"/>
    </row>
    <row r="372" spans="1:22" ht="17.25" customHeight="1">
      <c r="A372" s="21">
        <v>23</v>
      </c>
      <c r="B372" s="39" t="s">
        <v>21</v>
      </c>
      <c r="C372" s="40" t="s">
        <v>42</v>
      </c>
      <c r="D372" s="55" t="s">
        <v>27</v>
      </c>
      <c r="E372" s="24">
        <v>3.99</v>
      </c>
      <c r="F372" s="56"/>
      <c r="G372" s="14"/>
      <c r="H372" s="24">
        <v>0.1</v>
      </c>
      <c r="I372" s="48">
        <f>(E372+F372+G372)*17/100</f>
        <v>0.67830000000000001</v>
      </c>
      <c r="J372" s="49">
        <f t="shared" si="157"/>
        <v>1.1970000000000001</v>
      </c>
      <c r="K372" s="50">
        <f t="shared" si="144"/>
        <v>5.9653</v>
      </c>
      <c r="L372" s="51">
        <f t="shared" si="145"/>
        <v>8888297</v>
      </c>
      <c r="M372" s="58"/>
      <c r="N372" s="58"/>
      <c r="O372" s="51">
        <f t="shared" si="158"/>
        <v>8888297</v>
      </c>
      <c r="P372" s="53">
        <f t="shared" si="153"/>
        <v>730355.53500000003</v>
      </c>
      <c r="Q372" s="54"/>
      <c r="R372" s="53">
        <f t="shared" si="142"/>
        <v>730355.53500000003</v>
      </c>
      <c r="S372" s="53">
        <f t="shared" si="159"/>
        <v>8157941.4649999999</v>
      </c>
      <c r="T372" s="41"/>
    </row>
    <row r="373" spans="1:22" ht="17.25" customHeight="1">
      <c r="A373" s="21">
        <v>24</v>
      </c>
      <c r="B373" s="39" t="s">
        <v>21</v>
      </c>
      <c r="C373" s="26" t="s">
        <v>74</v>
      </c>
      <c r="D373" s="55" t="s">
        <v>27</v>
      </c>
      <c r="E373" s="24">
        <v>3.99</v>
      </c>
      <c r="F373" s="56"/>
      <c r="G373" s="14"/>
      <c r="H373" s="10"/>
      <c r="I373" s="66">
        <f>(E373+F373+G373)*16/100</f>
        <v>0.63840000000000008</v>
      </c>
      <c r="J373" s="67">
        <f t="shared" si="157"/>
        <v>1.1970000000000001</v>
      </c>
      <c r="K373" s="68">
        <f t="shared" si="144"/>
        <v>5.8254000000000001</v>
      </c>
      <c r="L373" s="69">
        <f t="shared" si="145"/>
        <v>8679846</v>
      </c>
      <c r="M373" s="70"/>
      <c r="N373" s="70"/>
      <c r="O373" s="69">
        <f t="shared" si="158"/>
        <v>8679846</v>
      </c>
      <c r="P373" s="71">
        <f t="shared" si="153"/>
        <v>724113.17999999993</v>
      </c>
      <c r="Q373" s="54"/>
      <c r="R373" s="71">
        <f t="shared" si="142"/>
        <v>724113.17999999993</v>
      </c>
      <c r="S373" s="71">
        <f t="shared" si="159"/>
        <v>7955732.8200000003</v>
      </c>
      <c r="T373" s="41"/>
    </row>
    <row r="374" spans="1:22" ht="17.25" customHeight="1">
      <c r="A374" s="21">
        <v>25</v>
      </c>
      <c r="B374" s="72" t="s">
        <v>21</v>
      </c>
      <c r="C374" s="26" t="s">
        <v>43</v>
      </c>
      <c r="D374" s="55" t="s">
        <v>27</v>
      </c>
      <c r="E374" s="24">
        <v>3.99</v>
      </c>
      <c r="F374" s="56"/>
      <c r="G374" s="14"/>
      <c r="H374" s="10"/>
      <c r="I374" s="66">
        <f>(E374+F374+G374)*16/100</f>
        <v>0.63840000000000008</v>
      </c>
      <c r="J374" s="67">
        <f t="shared" si="157"/>
        <v>1.1970000000000001</v>
      </c>
      <c r="K374" s="68">
        <f t="shared" si="144"/>
        <v>5.8254000000000001</v>
      </c>
      <c r="L374" s="69">
        <f t="shared" si="145"/>
        <v>8679846</v>
      </c>
      <c r="M374" s="70"/>
      <c r="N374" s="70"/>
      <c r="O374" s="69">
        <f t="shared" si="158"/>
        <v>8679846</v>
      </c>
      <c r="P374" s="71">
        <f t="shared" si="153"/>
        <v>724113.17999999993</v>
      </c>
      <c r="Q374" s="54"/>
      <c r="R374" s="71">
        <f t="shared" si="142"/>
        <v>724113.17999999993</v>
      </c>
      <c r="S374" s="71">
        <f t="shared" si="159"/>
        <v>7955732.8200000003</v>
      </c>
      <c r="T374" s="41"/>
    </row>
    <row r="375" spans="1:22" ht="17.25" customHeight="1">
      <c r="A375" s="21">
        <v>26</v>
      </c>
      <c r="B375" s="39" t="s">
        <v>21</v>
      </c>
      <c r="C375" s="26" t="s">
        <v>58</v>
      </c>
      <c r="D375" s="55" t="s">
        <v>27</v>
      </c>
      <c r="E375" s="24">
        <v>3.33</v>
      </c>
      <c r="F375" s="56"/>
      <c r="G375" s="14"/>
      <c r="H375" s="10"/>
      <c r="I375" s="48">
        <f>(E375+F375+G375)*11%</f>
        <v>0.36630000000000001</v>
      </c>
      <c r="J375" s="49">
        <f t="shared" si="157"/>
        <v>0.999</v>
      </c>
      <c r="K375" s="50">
        <f t="shared" si="144"/>
        <v>4.6952999999999996</v>
      </c>
      <c r="L375" s="51">
        <f t="shared" si="145"/>
        <v>6995996.9999999991</v>
      </c>
      <c r="M375" s="58"/>
      <c r="N375" s="58"/>
      <c r="O375" s="51">
        <f t="shared" si="158"/>
        <v>6995996.9999999991</v>
      </c>
      <c r="P375" s="53">
        <f t="shared" si="153"/>
        <v>578286.13500000001</v>
      </c>
      <c r="Q375" s="54"/>
      <c r="R375" s="53">
        <f t="shared" si="142"/>
        <v>578286.13500000001</v>
      </c>
      <c r="S375" s="53">
        <f>O375-R375</f>
        <v>6417710.8649999993</v>
      </c>
      <c r="T375" s="41"/>
    </row>
    <row r="376" spans="1:22" ht="17.25" customHeight="1">
      <c r="A376" s="21">
        <v>27</v>
      </c>
      <c r="B376" s="39" t="s">
        <v>21</v>
      </c>
      <c r="C376" s="40" t="s">
        <v>44</v>
      </c>
      <c r="D376" s="55" t="s">
        <v>27</v>
      </c>
      <c r="E376" s="24">
        <v>3.99</v>
      </c>
      <c r="F376" s="56"/>
      <c r="G376" s="14"/>
      <c r="H376" s="10"/>
      <c r="I376" s="48">
        <f>(E376+F376+G376)*15/100</f>
        <v>0.59850000000000003</v>
      </c>
      <c r="J376" s="49">
        <f t="shared" si="157"/>
        <v>1.1970000000000001</v>
      </c>
      <c r="K376" s="50">
        <f t="shared" si="144"/>
        <v>5.7854999999999999</v>
      </c>
      <c r="L376" s="51">
        <f t="shared" si="145"/>
        <v>8620395</v>
      </c>
      <c r="M376" s="58"/>
      <c r="N376" s="58"/>
      <c r="O376" s="51">
        <f t="shared" si="158"/>
        <v>8620395</v>
      </c>
      <c r="P376" s="53">
        <f t="shared" si="153"/>
        <v>717870.82499999995</v>
      </c>
      <c r="Q376" s="54"/>
      <c r="R376" s="53">
        <f t="shared" si="142"/>
        <v>717870.82499999995</v>
      </c>
      <c r="S376" s="53">
        <f t="shared" ref="S376:S379" si="160">O376-R376</f>
        <v>7902524.1749999998</v>
      </c>
      <c r="T376" s="41"/>
    </row>
    <row r="377" spans="1:22" ht="17.25" customHeight="1">
      <c r="A377" s="21">
        <v>28</v>
      </c>
      <c r="B377" s="39" t="s">
        <v>53</v>
      </c>
      <c r="C377" s="73" t="s">
        <v>75</v>
      </c>
      <c r="D377" s="55" t="s">
        <v>83</v>
      </c>
      <c r="E377" s="74">
        <v>3.46</v>
      </c>
      <c r="F377" s="56">
        <v>0.15</v>
      </c>
      <c r="G377" s="14"/>
      <c r="H377" s="10"/>
      <c r="I377" s="48"/>
      <c r="J377" s="49"/>
      <c r="K377" s="50">
        <f>E377+F377+G377+H377+I377+J377</f>
        <v>3.61</v>
      </c>
      <c r="L377" s="51">
        <f>K377*1490000</f>
        <v>5378900</v>
      </c>
      <c r="M377" s="65"/>
      <c r="N377" s="75"/>
      <c r="O377" s="51">
        <f>L377-M377+N377</f>
        <v>5378900</v>
      </c>
      <c r="P377" s="53">
        <f t="shared" si="153"/>
        <v>564784.5</v>
      </c>
      <c r="Q377" s="54"/>
      <c r="R377" s="53">
        <f t="shared" si="142"/>
        <v>564784.5</v>
      </c>
      <c r="S377" s="53">
        <f t="shared" si="160"/>
        <v>4814115.5</v>
      </c>
      <c r="T377" s="41"/>
    </row>
    <row r="378" spans="1:22" ht="17.25" customHeight="1">
      <c r="A378" s="21">
        <v>29</v>
      </c>
      <c r="B378" s="39" t="s">
        <v>89</v>
      </c>
      <c r="C378" s="42" t="s">
        <v>46</v>
      </c>
      <c r="D378" s="55" t="s">
        <v>27</v>
      </c>
      <c r="E378" s="24">
        <v>4</v>
      </c>
      <c r="F378" s="24"/>
      <c r="G378" s="14"/>
      <c r="H378" s="10"/>
      <c r="I378" s="48">
        <f>(E378+F378+G378)*13%</f>
        <v>0.52</v>
      </c>
      <c r="J378" s="49">
        <f t="shared" ref="J378:J379" si="161">30/100*(E378+F378+G378)</f>
        <v>1.2</v>
      </c>
      <c r="K378" s="50">
        <f t="shared" ref="K378:K380" si="162">E378+F378+G378+H378+I378+J378</f>
        <v>5.72</v>
      </c>
      <c r="L378" s="51">
        <f t="shared" ref="L378:L382" si="163">K378*1490000</f>
        <v>8522800</v>
      </c>
      <c r="M378" s="58"/>
      <c r="N378" s="58"/>
      <c r="O378" s="51">
        <f t="shared" ref="O378:O386" si="164">L378-M378+N378</f>
        <v>8522800</v>
      </c>
      <c r="P378" s="53">
        <f t="shared" si="153"/>
        <v>707153.99999999988</v>
      </c>
      <c r="Q378" s="54"/>
      <c r="R378" s="53">
        <f t="shared" si="142"/>
        <v>707153.99999999988</v>
      </c>
      <c r="S378" s="76">
        <f t="shared" si="160"/>
        <v>7815646</v>
      </c>
      <c r="T378" s="41"/>
    </row>
    <row r="379" spans="1:22" ht="17.25" customHeight="1">
      <c r="A379" s="21">
        <v>30</v>
      </c>
      <c r="B379" s="39" t="s">
        <v>21</v>
      </c>
      <c r="C379" s="40" t="s">
        <v>47</v>
      </c>
      <c r="D379" s="55" t="s">
        <v>27</v>
      </c>
      <c r="E379" s="24">
        <v>3.99</v>
      </c>
      <c r="F379" s="24"/>
      <c r="G379" s="14"/>
      <c r="H379" s="10"/>
      <c r="I379" s="48">
        <f>(E379+F379+G379)*15%</f>
        <v>0.59850000000000003</v>
      </c>
      <c r="J379" s="49">
        <f t="shared" si="161"/>
        <v>1.1970000000000001</v>
      </c>
      <c r="K379" s="50">
        <f t="shared" si="162"/>
        <v>5.7854999999999999</v>
      </c>
      <c r="L379" s="51">
        <f t="shared" si="163"/>
        <v>8620395</v>
      </c>
      <c r="M379" s="53"/>
      <c r="N379" s="58"/>
      <c r="O379" s="51">
        <f t="shared" si="164"/>
        <v>8620395</v>
      </c>
      <c r="P379" s="53">
        <f t="shared" si="153"/>
        <v>717870.82499999995</v>
      </c>
      <c r="Q379" s="54"/>
      <c r="R379" s="53">
        <f t="shared" si="142"/>
        <v>717870.82499999995</v>
      </c>
      <c r="S379" s="76">
        <f t="shared" si="160"/>
        <v>7902524.1749999998</v>
      </c>
      <c r="T379" s="41"/>
    </row>
    <row r="380" spans="1:22" ht="17.25" customHeight="1">
      <c r="A380" s="21">
        <v>31</v>
      </c>
      <c r="B380" s="39" t="s">
        <v>21</v>
      </c>
      <c r="C380" s="40" t="s">
        <v>48</v>
      </c>
      <c r="D380" s="55" t="s">
        <v>27</v>
      </c>
      <c r="E380" s="24">
        <v>3.66</v>
      </c>
      <c r="F380" s="24"/>
      <c r="G380" s="14"/>
      <c r="H380" s="10"/>
      <c r="I380" s="48">
        <f>(E380+F380+G380)*13%</f>
        <v>0.47580000000000006</v>
      </c>
      <c r="J380" s="49">
        <f>30/100*(E380+F380+G380)</f>
        <v>1.0980000000000001</v>
      </c>
      <c r="K380" s="50">
        <f t="shared" si="162"/>
        <v>5.2338000000000005</v>
      </c>
      <c r="L380" s="51">
        <f t="shared" si="163"/>
        <v>7798362.0000000009</v>
      </c>
      <c r="M380" s="53"/>
      <c r="N380" s="58"/>
      <c r="O380" s="51">
        <f t="shared" si="164"/>
        <v>7798362.0000000009</v>
      </c>
      <c r="P380" s="53">
        <f t="shared" si="153"/>
        <v>647045.91</v>
      </c>
      <c r="Q380" s="54"/>
      <c r="R380" s="53">
        <f t="shared" si="142"/>
        <v>647045.91</v>
      </c>
      <c r="S380" s="76">
        <f>O380-R380</f>
        <v>7151316.0900000008</v>
      </c>
      <c r="T380" s="41"/>
    </row>
    <row r="381" spans="1:22" ht="17.25" customHeight="1">
      <c r="A381" s="21">
        <v>32</v>
      </c>
      <c r="B381" s="39" t="s">
        <v>21</v>
      </c>
      <c r="C381" s="40" t="s">
        <v>92</v>
      </c>
      <c r="D381" s="55" t="s">
        <v>27</v>
      </c>
      <c r="E381" s="24">
        <v>3.33</v>
      </c>
      <c r="F381" s="24"/>
      <c r="G381" s="14"/>
      <c r="H381" s="10"/>
      <c r="I381" s="48">
        <f>(E381+F381+G381)*10%</f>
        <v>0.33300000000000002</v>
      </c>
      <c r="J381" s="49">
        <f>30/100*(E381+F381+G381)</f>
        <v>0.999</v>
      </c>
      <c r="K381" s="50">
        <f>E381+F381+G381+H381+I381+J381</f>
        <v>4.6619999999999999</v>
      </c>
      <c r="L381" s="51">
        <f t="shared" si="163"/>
        <v>6946380</v>
      </c>
      <c r="M381" s="53"/>
      <c r="N381" s="53"/>
      <c r="O381" s="51">
        <f t="shared" si="164"/>
        <v>6946380</v>
      </c>
      <c r="P381" s="53">
        <f>((E381+F381+G381+I381)*1490000)*10.5%</f>
        <v>573076.35</v>
      </c>
      <c r="Q381" s="54"/>
      <c r="R381" s="53">
        <f t="shared" si="142"/>
        <v>573076.35</v>
      </c>
      <c r="S381" s="76">
        <f t="shared" ref="S381:S382" si="165">O381-R381</f>
        <v>6373303.6500000004</v>
      </c>
      <c r="T381" s="41"/>
    </row>
    <row r="382" spans="1:22" ht="17.25" customHeight="1">
      <c r="A382" s="21">
        <v>33</v>
      </c>
      <c r="B382" s="39" t="s">
        <v>21</v>
      </c>
      <c r="C382" s="40" t="s">
        <v>93</v>
      </c>
      <c r="D382" s="55" t="s">
        <v>27</v>
      </c>
      <c r="E382" s="24">
        <v>3.66</v>
      </c>
      <c r="F382" s="24"/>
      <c r="G382" s="14"/>
      <c r="H382" s="10"/>
      <c r="I382" s="48">
        <f>(E382+F382+G382)*11%</f>
        <v>0.40260000000000001</v>
      </c>
      <c r="J382" s="49">
        <f>30/100*(E382+F382+G382)</f>
        <v>1.0980000000000001</v>
      </c>
      <c r="K382" s="50">
        <f>E382+F382+G382+H382+I382+J382</f>
        <v>5.1605999999999996</v>
      </c>
      <c r="L382" s="51">
        <f t="shared" si="163"/>
        <v>7689293.9999999991</v>
      </c>
      <c r="M382" s="53"/>
      <c r="N382" s="53"/>
      <c r="O382" s="51">
        <f t="shared" si="164"/>
        <v>7689293.9999999991</v>
      </c>
      <c r="P382" s="53">
        <f>((E382+F382+G382+I382)*1490000)*10.5%</f>
        <v>635593.77</v>
      </c>
      <c r="Q382" s="54"/>
      <c r="R382" s="53">
        <f t="shared" si="142"/>
        <v>635593.77</v>
      </c>
      <c r="S382" s="76">
        <f t="shared" si="165"/>
        <v>7053700.2299999986</v>
      </c>
      <c r="T382" s="41"/>
    </row>
    <row r="383" spans="1:22" ht="17.25" customHeight="1">
      <c r="A383" s="21">
        <v>34</v>
      </c>
      <c r="B383" s="39" t="s">
        <v>94</v>
      </c>
      <c r="C383" s="42" t="s">
        <v>95</v>
      </c>
      <c r="D383" s="77" t="s">
        <v>27</v>
      </c>
      <c r="E383" s="24">
        <v>3</v>
      </c>
      <c r="F383" s="24"/>
      <c r="G383" s="14"/>
      <c r="H383" s="11"/>
      <c r="I383" s="48"/>
      <c r="J383" s="49">
        <f>30/100*(E383+F383+G383)</f>
        <v>0.89999999999999991</v>
      </c>
      <c r="K383" s="50">
        <f>E383+F383+G383+H383+I383+J383</f>
        <v>3.9</v>
      </c>
      <c r="L383" s="51">
        <f>K383*1490000</f>
        <v>5811000</v>
      </c>
      <c r="M383" s="65"/>
      <c r="N383" s="65"/>
      <c r="O383" s="51">
        <f t="shared" si="164"/>
        <v>5811000</v>
      </c>
      <c r="P383" s="53">
        <f t="shared" ref="P383:P384" si="166">((E383+F383+G383+I383)*1490000-M383)*10.5%</f>
        <v>469350</v>
      </c>
      <c r="Q383" s="54"/>
      <c r="R383" s="53">
        <f t="shared" si="142"/>
        <v>469350</v>
      </c>
      <c r="S383" s="76">
        <f>O383-R383-N383</f>
        <v>5341650</v>
      </c>
      <c r="T383" s="41"/>
    </row>
    <row r="384" spans="1:22" ht="17.25" customHeight="1">
      <c r="A384" s="21">
        <v>35</v>
      </c>
      <c r="B384" s="39" t="s">
        <v>23</v>
      </c>
      <c r="C384" s="40" t="s">
        <v>49</v>
      </c>
      <c r="D384" s="55" t="s">
        <v>45</v>
      </c>
      <c r="E384" s="24">
        <v>3.34</v>
      </c>
      <c r="F384" s="24"/>
      <c r="G384" s="14"/>
      <c r="H384" s="24">
        <v>0.2</v>
      </c>
      <c r="I384" s="48"/>
      <c r="J384" s="49"/>
      <c r="K384" s="50">
        <f t="shared" ref="K384" si="167">E384+F384+G384+H384+I384+J384</f>
        <v>3.54</v>
      </c>
      <c r="L384" s="51">
        <f t="shared" ref="L384" si="168">K384*1490000</f>
        <v>5274600</v>
      </c>
      <c r="M384" s="53"/>
      <c r="N384" s="58"/>
      <c r="O384" s="51">
        <f t="shared" si="164"/>
        <v>5274600</v>
      </c>
      <c r="P384" s="53">
        <f t="shared" si="166"/>
        <v>522543</v>
      </c>
      <c r="Q384" s="54"/>
      <c r="R384" s="53">
        <f t="shared" si="142"/>
        <v>522543</v>
      </c>
      <c r="S384" s="76">
        <f>O384-R384</f>
        <v>4752057</v>
      </c>
      <c r="T384" s="41"/>
    </row>
    <row r="385" spans="1:22" ht="17.25" customHeight="1">
      <c r="A385" s="21">
        <v>36</v>
      </c>
      <c r="B385" s="39" t="s">
        <v>52</v>
      </c>
      <c r="C385" s="40" t="s">
        <v>50</v>
      </c>
      <c r="D385" s="77" t="s">
        <v>45</v>
      </c>
      <c r="E385" s="24">
        <v>2.86</v>
      </c>
      <c r="F385" s="24"/>
      <c r="G385" s="14"/>
      <c r="H385" s="24">
        <v>0.2</v>
      </c>
      <c r="I385" s="48"/>
      <c r="J385" s="49"/>
      <c r="K385" s="50">
        <f>E385+F385+G385+H385+I385+J385</f>
        <v>3.06</v>
      </c>
      <c r="L385" s="51">
        <f>K385*1490000</f>
        <v>4559400</v>
      </c>
      <c r="M385" s="53"/>
      <c r="N385" s="51"/>
      <c r="O385" s="51">
        <f t="shared" si="164"/>
        <v>4559400</v>
      </c>
      <c r="P385" s="53">
        <f>((E385+F385+G385+I385)*1490000)*10.5%</f>
        <v>447447</v>
      </c>
      <c r="Q385" s="53"/>
      <c r="R385" s="53">
        <f t="shared" si="142"/>
        <v>447447</v>
      </c>
      <c r="S385" s="76">
        <f>O385-R385</f>
        <v>4111953</v>
      </c>
      <c r="T385" s="41"/>
    </row>
    <row r="386" spans="1:22" ht="17.25" customHeight="1">
      <c r="A386" s="21">
        <v>37</v>
      </c>
      <c r="B386" s="39" t="s">
        <v>54</v>
      </c>
      <c r="C386" s="40" t="s">
        <v>51</v>
      </c>
      <c r="D386" s="77" t="s">
        <v>96</v>
      </c>
      <c r="E386" s="24"/>
      <c r="F386" s="24"/>
      <c r="G386" s="14"/>
      <c r="H386" s="11"/>
      <c r="I386" s="48"/>
      <c r="J386" s="49"/>
      <c r="K386" s="50"/>
      <c r="L386" s="51">
        <v>3920000</v>
      </c>
      <c r="M386" s="53"/>
      <c r="N386" s="58"/>
      <c r="O386" s="51">
        <f t="shared" si="164"/>
        <v>3920000</v>
      </c>
      <c r="P386" s="53">
        <f>O386*10.5%</f>
        <v>411600</v>
      </c>
      <c r="Q386" s="53"/>
      <c r="R386" s="53">
        <f t="shared" si="142"/>
        <v>411600</v>
      </c>
      <c r="S386" s="76">
        <f>O386-R386</f>
        <v>3508400</v>
      </c>
      <c r="T386" s="2"/>
    </row>
    <row r="387" spans="1:22" ht="17.25" customHeight="1">
      <c r="A387" s="2"/>
      <c r="B387" s="2"/>
      <c r="C387" s="3" t="s">
        <v>14</v>
      </c>
      <c r="D387" s="5"/>
      <c r="E387" s="27">
        <f t="shared" ref="E387" si="169">SUM(E350:E386)</f>
        <v>150.35999999999996</v>
      </c>
      <c r="F387" s="78">
        <f>SUM(F350:F386)</f>
        <v>2.1999999999999997</v>
      </c>
      <c r="G387" s="27">
        <f>SUM(G350:G386)</f>
        <v>0.94620000000000015</v>
      </c>
      <c r="H387" s="78">
        <f>SUM(H350:H386)</f>
        <v>0.60000000000000009</v>
      </c>
      <c r="I387" s="27">
        <f>SUM(I350:I386)</f>
        <v>26.465028</v>
      </c>
      <c r="J387" s="27">
        <f t="shared" ref="J387" si="170">SUM(J350:J386)</f>
        <v>41.767860000000006</v>
      </c>
      <c r="K387" s="27">
        <f>SUM(K350:K386)</f>
        <v>222.33908800000003</v>
      </c>
      <c r="L387" s="28">
        <f t="shared" ref="L387:O387" si="171">SUM(L350:L386)</f>
        <v>335205241.12</v>
      </c>
      <c r="M387" s="75">
        <f t="shared" si="171"/>
        <v>0</v>
      </c>
      <c r="N387" s="75">
        <f t="shared" si="171"/>
        <v>0</v>
      </c>
      <c r="O387" s="28">
        <f t="shared" si="171"/>
        <v>335205241.12</v>
      </c>
      <c r="P387" s="28">
        <f>SUM(P350:P386)</f>
        <v>28468882.500600003</v>
      </c>
      <c r="Q387" s="28">
        <f>SUM(Q350:Q386)</f>
        <v>0</v>
      </c>
      <c r="R387" s="28">
        <f t="shared" ref="R387" si="172">SUM(R350:R386)</f>
        <v>28468882.500600003</v>
      </c>
      <c r="S387" s="32">
        <f>SUM(S350:S386)</f>
        <v>306736358.61939996</v>
      </c>
      <c r="T387" s="2"/>
    </row>
    <row r="388" spans="1:22">
      <c r="E388" s="9"/>
      <c r="F388" s="9"/>
      <c r="G388" s="9"/>
      <c r="H388" s="9"/>
      <c r="I388" s="19"/>
      <c r="J388" s="17"/>
    </row>
    <row r="389" spans="1:22">
      <c r="A389" s="1" t="s">
        <v>100</v>
      </c>
      <c r="D389" s="210" t="s">
        <v>259</v>
      </c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</row>
    <row r="390" spans="1:22" ht="15.75">
      <c r="A390" s="6"/>
      <c r="E390" s="9"/>
      <c r="F390" s="9"/>
      <c r="G390" s="9"/>
      <c r="H390" s="9"/>
      <c r="I390" s="19"/>
      <c r="J390" s="17"/>
      <c r="S390" s="15"/>
    </row>
    <row r="391" spans="1:22">
      <c r="A391" s="7"/>
      <c r="B391" s="7"/>
      <c r="C391" s="7"/>
      <c r="D391" s="211"/>
      <c r="E391" s="212"/>
      <c r="F391" s="212"/>
      <c r="G391" s="37"/>
      <c r="H391" s="37"/>
      <c r="I391" s="19"/>
      <c r="J391" s="17"/>
      <c r="N391" s="43"/>
      <c r="O391" s="43"/>
      <c r="P391" s="213" t="s">
        <v>252</v>
      </c>
      <c r="Q391" s="213"/>
      <c r="R391" s="213"/>
      <c r="S391" s="213"/>
    </row>
    <row r="392" spans="1:22">
      <c r="A392" s="214" t="s">
        <v>77</v>
      </c>
      <c r="B392" s="214"/>
      <c r="C392" s="214"/>
      <c r="D392" s="214"/>
      <c r="E392" s="214"/>
      <c r="F392" s="9"/>
      <c r="G392" s="44"/>
      <c r="H392" s="44"/>
      <c r="I392" s="19"/>
      <c r="J392" s="214" t="s">
        <v>79</v>
      </c>
      <c r="K392" s="214"/>
      <c r="L392" s="214"/>
      <c r="M392" s="214"/>
      <c r="P392" s="215" t="s">
        <v>65</v>
      </c>
      <c r="Q392" s="215"/>
      <c r="R392" s="215"/>
      <c r="S392" s="215"/>
    </row>
    <row r="393" spans="1:22">
      <c r="A393" s="216" t="s">
        <v>78</v>
      </c>
      <c r="B393" s="216"/>
      <c r="C393" s="216"/>
      <c r="D393" s="216"/>
      <c r="E393" s="9"/>
      <c r="F393" s="9"/>
      <c r="G393" s="9"/>
      <c r="H393" s="9"/>
      <c r="I393" s="19"/>
      <c r="J393" s="216" t="s">
        <v>80</v>
      </c>
      <c r="K393" s="216"/>
      <c r="L393" s="216"/>
      <c r="P393" s="217" t="s">
        <v>66</v>
      </c>
      <c r="Q393" s="217"/>
      <c r="R393" s="217"/>
      <c r="S393" s="217"/>
    </row>
    <row r="394" spans="1:22">
      <c r="E394" s="9"/>
      <c r="F394" s="9"/>
      <c r="G394" s="9"/>
      <c r="H394" s="9"/>
      <c r="I394" s="19"/>
      <c r="J394" s="17"/>
    </row>
    <row r="395" spans="1:22">
      <c r="B395" s="152"/>
      <c r="C395" s="79"/>
      <c r="D395" s="152"/>
      <c r="E395" s="9"/>
      <c r="F395" s="9"/>
      <c r="G395" s="9"/>
      <c r="H395" s="9"/>
      <c r="I395" s="19"/>
      <c r="J395" s="17"/>
    </row>
    <row r="396" spans="1:22" ht="15.75">
      <c r="B396" s="152"/>
      <c r="C396" s="153"/>
      <c r="D396" s="152"/>
      <c r="E396" s="9"/>
      <c r="F396" s="9"/>
      <c r="G396" s="9"/>
      <c r="H396" s="9"/>
      <c r="I396" s="19"/>
      <c r="J396" s="17"/>
      <c r="L396" s="12"/>
      <c r="P396" s="16"/>
      <c r="V396">
        <v>1327590</v>
      </c>
    </row>
    <row r="397" spans="1:22" ht="15.75">
      <c r="B397" s="152"/>
      <c r="C397" s="153"/>
      <c r="D397" s="152"/>
      <c r="E397" s="9"/>
      <c r="F397" s="9"/>
      <c r="G397" s="9"/>
      <c r="H397" s="9"/>
      <c r="I397" s="19"/>
      <c r="J397" s="17"/>
      <c r="V397" s="32">
        <f>929313*89.5%</f>
        <v>831735.13500000001</v>
      </c>
    </row>
    <row r="398" spans="1:22" ht="15.75">
      <c r="B398" s="208" t="s">
        <v>267</v>
      </c>
      <c r="C398" s="208"/>
      <c r="D398" s="208"/>
      <c r="E398" s="9"/>
      <c r="F398" s="9"/>
      <c r="G398" s="9"/>
      <c r="H398" s="9"/>
      <c r="I398" s="19"/>
      <c r="J398" s="209" t="s">
        <v>59</v>
      </c>
      <c r="K398" s="209"/>
      <c r="L398" s="209"/>
      <c r="M398" s="209"/>
      <c r="P398" s="209" t="s">
        <v>81</v>
      </c>
      <c r="Q398" s="209"/>
      <c r="R398" s="209"/>
      <c r="S398" s="209"/>
      <c r="V398" s="32">
        <f>4425300*89.5%</f>
        <v>3960643.5</v>
      </c>
    </row>
    <row r="399" spans="1:22">
      <c r="V399">
        <f>SUM(V396:V398)</f>
        <v>6119968.6349999998</v>
      </c>
    </row>
    <row r="407" spans="1:20" ht="15.75">
      <c r="A407" s="227" t="s">
        <v>55</v>
      </c>
      <c r="B407" s="227"/>
      <c r="C407" s="227"/>
      <c r="D407" s="227"/>
      <c r="E407" s="227"/>
      <c r="F407" s="227"/>
      <c r="G407" s="227"/>
      <c r="H407" s="227"/>
      <c r="I407" s="19"/>
      <c r="J407" s="17"/>
      <c r="Q407" s="228" t="s">
        <v>235</v>
      </c>
      <c r="R407" s="228"/>
      <c r="S407" s="228"/>
    </row>
    <row r="408" spans="1:20">
      <c r="A408" s="229" t="s">
        <v>67</v>
      </c>
      <c r="B408" s="229"/>
      <c r="C408" s="229"/>
      <c r="D408" s="229"/>
      <c r="E408" s="229"/>
      <c r="F408" s="229"/>
      <c r="G408" s="229"/>
      <c r="H408" s="9"/>
      <c r="I408" s="19"/>
      <c r="J408" s="17"/>
      <c r="R408" s="230" t="s">
        <v>68</v>
      </c>
      <c r="S408" s="230"/>
    </row>
    <row r="409" spans="1:20" ht="15.75">
      <c r="A409" s="227" t="s">
        <v>56</v>
      </c>
      <c r="B409" s="227"/>
      <c r="C409" s="227"/>
      <c r="D409" s="227"/>
      <c r="E409" s="227"/>
      <c r="F409" s="227"/>
      <c r="G409" s="227"/>
      <c r="H409" s="9"/>
      <c r="I409" s="19"/>
      <c r="J409" s="17"/>
      <c r="R409" s="29" t="s">
        <v>63</v>
      </c>
    </row>
    <row r="410" spans="1:20" ht="20.25">
      <c r="A410" s="231" t="s">
        <v>76</v>
      </c>
      <c r="B410" s="231"/>
      <c r="C410" s="231"/>
      <c r="D410" s="231"/>
      <c r="E410" s="231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</row>
    <row r="411" spans="1:20" ht="18.75">
      <c r="A411" s="232" t="s">
        <v>250</v>
      </c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</row>
    <row r="412" spans="1:20">
      <c r="A412" s="225" t="s">
        <v>0</v>
      </c>
      <c r="B412" s="226" t="s">
        <v>1</v>
      </c>
      <c r="C412" s="226" t="s">
        <v>2</v>
      </c>
      <c r="D412" s="226" t="s">
        <v>3</v>
      </c>
      <c r="E412" s="226" t="s">
        <v>20</v>
      </c>
      <c r="F412" s="226"/>
      <c r="G412" s="226"/>
      <c r="H412" s="226"/>
      <c r="I412" s="226"/>
      <c r="J412" s="226"/>
      <c r="K412" s="226"/>
      <c r="L412" s="226"/>
      <c r="M412" s="233" t="s">
        <v>9</v>
      </c>
      <c r="N412" s="233" t="s">
        <v>11</v>
      </c>
      <c r="O412" s="226" t="s">
        <v>12</v>
      </c>
      <c r="P412" s="234" t="s">
        <v>13</v>
      </c>
      <c r="Q412" s="235"/>
      <c r="R412" s="236"/>
      <c r="S412" s="226" t="s">
        <v>15</v>
      </c>
      <c r="T412" s="218" t="s">
        <v>57</v>
      </c>
    </row>
    <row r="413" spans="1:20">
      <c r="A413" s="225"/>
      <c r="B413" s="226"/>
      <c r="C413" s="226"/>
      <c r="D413" s="226"/>
      <c r="E413" s="221" t="s">
        <v>4</v>
      </c>
      <c r="F413" s="222" t="s">
        <v>5</v>
      </c>
      <c r="G413" s="223" t="s">
        <v>6</v>
      </c>
      <c r="H413" s="223"/>
      <c r="I413" s="223"/>
      <c r="J413" s="223"/>
      <c r="K413" s="224" t="s">
        <v>7</v>
      </c>
      <c r="L413" s="224" t="s">
        <v>8</v>
      </c>
      <c r="M413" s="233"/>
      <c r="N413" s="233"/>
      <c r="O413" s="226"/>
      <c r="P413" s="225" t="s">
        <v>10</v>
      </c>
      <c r="Q413" s="226" t="s">
        <v>85</v>
      </c>
      <c r="R413" s="225" t="s">
        <v>14</v>
      </c>
      <c r="S413" s="226"/>
      <c r="T413" s="219"/>
    </row>
    <row r="414" spans="1:20" ht="63">
      <c r="A414" s="225"/>
      <c r="B414" s="226"/>
      <c r="C414" s="226"/>
      <c r="D414" s="226"/>
      <c r="E414" s="221"/>
      <c r="F414" s="222"/>
      <c r="G414" s="157" t="s">
        <v>26</v>
      </c>
      <c r="H414" s="157" t="s">
        <v>86</v>
      </c>
      <c r="I414" s="20" t="s">
        <v>24</v>
      </c>
      <c r="J414" s="18" t="s">
        <v>25</v>
      </c>
      <c r="K414" s="224"/>
      <c r="L414" s="224"/>
      <c r="M414" s="233"/>
      <c r="N414" s="233"/>
      <c r="O414" s="226"/>
      <c r="P414" s="225"/>
      <c r="Q414" s="226"/>
      <c r="R414" s="225"/>
      <c r="S414" s="226"/>
      <c r="T414" s="220"/>
    </row>
    <row r="415" spans="1:20">
      <c r="A415" s="4" t="s">
        <v>16</v>
      </c>
      <c r="B415" s="4" t="s">
        <v>17</v>
      </c>
      <c r="C415" s="4" t="s">
        <v>18</v>
      </c>
      <c r="D415" s="4" t="s">
        <v>19</v>
      </c>
      <c r="E415" s="13">
        <v>1</v>
      </c>
      <c r="F415" s="13">
        <v>2</v>
      </c>
      <c r="G415" s="13">
        <v>3</v>
      </c>
      <c r="H415" s="13">
        <v>4</v>
      </c>
      <c r="I415" s="13">
        <v>5</v>
      </c>
      <c r="J415" s="23">
        <v>6</v>
      </c>
      <c r="K415" s="4">
        <v>7</v>
      </c>
      <c r="L415" s="4">
        <v>8</v>
      </c>
      <c r="M415" s="4">
        <v>9</v>
      </c>
      <c r="N415" s="4">
        <v>10</v>
      </c>
      <c r="O415" s="30" t="s">
        <v>87</v>
      </c>
      <c r="P415" s="30">
        <v>12</v>
      </c>
      <c r="Q415" s="30">
        <v>13</v>
      </c>
      <c r="R415" s="30">
        <v>14</v>
      </c>
      <c r="S415" s="30" t="s">
        <v>88</v>
      </c>
      <c r="T415" s="2"/>
    </row>
    <row r="416" spans="1:20" ht="16.5">
      <c r="A416" s="21">
        <v>1</v>
      </c>
      <c r="B416" s="39" t="s">
        <v>89</v>
      </c>
      <c r="C416" s="42" t="s">
        <v>60</v>
      </c>
      <c r="D416" s="46" t="s">
        <v>61</v>
      </c>
      <c r="E416" s="47">
        <v>5.0199999999999996</v>
      </c>
      <c r="F416" s="47">
        <v>0.35</v>
      </c>
      <c r="G416" s="25"/>
      <c r="H416" s="22"/>
      <c r="I416" s="48">
        <f>(E416+F416+G416)*24/100</f>
        <v>1.2887999999999999</v>
      </c>
      <c r="J416" s="49">
        <f>30/100*(E416+F416+G416)</f>
        <v>1.6109999999999998</v>
      </c>
      <c r="K416" s="50">
        <f>E416+F416+G416+H416+I416+J416</f>
        <v>8.2698</v>
      </c>
      <c r="L416" s="51">
        <f>K416*1490000</f>
        <v>12322002</v>
      </c>
      <c r="M416" s="52"/>
      <c r="N416" s="52"/>
      <c r="O416" s="51">
        <f>L416-M416+N416</f>
        <v>12322002</v>
      </c>
      <c r="P416" s="53">
        <f>((E416+F416+G416+I416)*1490000-M416)*9.5%</f>
        <v>942553.14</v>
      </c>
      <c r="Q416" s="54"/>
      <c r="R416" s="53">
        <f>P416+Q416</f>
        <v>942553.14</v>
      </c>
      <c r="S416" s="53">
        <f>O416-R416</f>
        <v>11379448.859999999</v>
      </c>
      <c r="T416" s="41"/>
    </row>
    <row r="417" spans="1:20" ht="15.75">
      <c r="A417" s="21">
        <v>2</v>
      </c>
      <c r="B417" s="39" t="s">
        <v>21</v>
      </c>
      <c r="C417" s="40" t="s">
        <v>28</v>
      </c>
      <c r="D417" s="55" t="s">
        <v>27</v>
      </c>
      <c r="E417" s="24">
        <v>4.9800000000000004</v>
      </c>
      <c r="F417" s="56"/>
      <c r="G417" s="57">
        <f>E417*7%</f>
        <v>0.34860000000000008</v>
      </c>
      <c r="H417" s="10"/>
      <c r="I417" s="48">
        <f>(E417+F417+G417)*26/100</f>
        <v>1.3854360000000003</v>
      </c>
      <c r="J417" s="49">
        <f>30/100*(E417+F417+G417)</f>
        <v>1.5985800000000001</v>
      </c>
      <c r="K417" s="50">
        <f>E417+F417+G417+H417+I417+J417</f>
        <v>8.312616000000002</v>
      </c>
      <c r="L417" s="51">
        <f>K417*1490000</f>
        <v>12385797.840000004</v>
      </c>
      <c r="M417" s="58"/>
      <c r="N417" s="58"/>
      <c r="O417" s="51">
        <f>L417-M417+N417</f>
        <v>12385797.840000004</v>
      </c>
      <c r="P417" s="53">
        <f>((E417+F417+G417+I417)*1490000-M417)*10.5%</f>
        <v>1050410.9321999999</v>
      </c>
      <c r="Q417" s="54"/>
      <c r="R417" s="53">
        <f t="shared" ref="R417:R452" si="173">P417+Q417</f>
        <v>1050410.9321999999</v>
      </c>
      <c r="S417" s="53">
        <f t="shared" ref="S417" si="174">O417-R417</f>
        <v>11335386.907800004</v>
      </c>
      <c r="T417" s="59">
        <v>7.0000000000000007E-2</v>
      </c>
    </row>
    <row r="418" spans="1:20" ht="16.5">
      <c r="A418" s="21">
        <v>3</v>
      </c>
      <c r="B418" s="39" t="s">
        <v>22</v>
      </c>
      <c r="C418" s="40" t="s">
        <v>30</v>
      </c>
      <c r="D418" s="55" t="s">
        <v>90</v>
      </c>
      <c r="E418" s="24">
        <v>4.8899999999999997</v>
      </c>
      <c r="F418" s="47">
        <v>0.15</v>
      </c>
      <c r="G418" s="57"/>
      <c r="H418" s="10"/>
      <c r="I418" s="48">
        <f>(E418+F418+G418)*31/100</f>
        <v>1.5624</v>
      </c>
      <c r="J418" s="49">
        <f>30/100*(E418+F418+G418)</f>
        <v>1.512</v>
      </c>
      <c r="K418" s="50">
        <f t="shared" ref="K418:K442" si="175">E418+F418+G418+H418+I418+J418</f>
        <v>8.1143999999999998</v>
      </c>
      <c r="L418" s="51">
        <f t="shared" ref="L418:L442" si="176">K418*1490000</f>
        <v>12090456</v>
      </c>
      <c r="M418" s="58"/>
      <c r="N418" s="58"/>
      <c r="O418" s="51">
        <f t="shared" ref="O418:O435" si="177">L418-M418+N418</f>
        <v>12090456</v>
      </c>
      <c r="P418" s="53">
        <f t="shared" ref="P418:P422" si="178">((E418+F418+G418+I418)*1490000-M418)*10.5%</f>
        <v>1032945.48</v>
      </c>
      <c r="Q418" s="54"/>
      <c r="R418" s="53">
        <f t="shared" si="173"/>
        <v>1032945.48</v>
      </c>
      <c r="S418" s="53">
        <f>O418-R418</f>
        <v>11057510.52</v>
      </c>
      <c r="T418" s="2"/>
    </row>
    <row r="419" spans="1:20" ht="15.75">
      <c r="A419" s="21">
        <v>4</v>
      </c>
      <c r="B419" s="39" t="s">
        <v>21</v>
      </c>
      <c r="C419" s="40" t="s">
        <v>32</v>
      </c>
      <c r="D419" s="55" t="s">
        <v>29</v>
      </c>
      <c r="E419" s="24">
        <v>4.9800000000000004</v>
      </c>
      <c r="F419" s="47">
        <v>0.2</v>
      </c>
      <c r="G419" s="57">
        <f>E419*5%</f>
        <v>0.24900000000000003</v>
      </c>
      <c r="H419" s="10"/>
      <c r="I419" s="48">
        <f>(E419+F419+G419)*23%</f>
        <v>1.2486700000000002</v>
      </c>
      <c r="J419" s="49">
        <f t="shared" ref="J419" si="179">30/100*(E419+F419+G419)</f>
        <v>1.6287</v>
      </c>
      <c r="K419" s="50">
        <f t="shared" si="175"/>
        <v>8.3063700000000011</v>
      </c>
      <c r="L419" s="51">
        <f t="shared" si="176"/>
        <v>12376491.300000003</v>
      </c>
      <c r="M419" s="58"/>
      <c r="N419" s="58"/>
      <c r="O419" s="51">
        <f t="shared" si="177"/>
        <v>12376491.300000003</v>
      </c>
      <c r="P419" s="53">
        <f t="shared" si="178"/>
        <v>1044721.4715</v>
      </c>
      <c r="Q419" s="54"/>
      <c r="R419" s="53">
        <f t="shared" si="173"/>
        <v>1044721.4715</v>
      </c>
      <c r="S419" s="53">
        <f t="shared" ref="S419" si="180">O419-R419</f>
        <v>11331769.828500003</v>
      </c>
      <c r="T419" s="59">
        <v>0.05</v>
      </c>
    </row>
    <row r="420" spans="1:20" ht="15.75">
      <c r="A420" s="21">
        <v>5</v>
      </c>
      <c r="B420" s="39" t="s">
        <v>21</v>
      </c>
      <c r="C420" s="40" t="s">
        <v>82</v>
      </c>
      <c r="D420" s="55" t="s">
        <v>29</v>
      </c>
      <c r="E420" s="24">
        <v>4.9800000000000004</v>
      </c>
      <c r="F420" s="47">
        <v>0.2</v>
      </c>
      <c r="G420" s="57">
        <f>E420*7%</f>
        <v>0.34860000000000008</v>
      </c>
      <c r="H420" s="10"/>
      <c r="I420" s="48">
        <f>(E420+F420+G420)*27%</f>
        <v>1.4927220000000003</v>
      </c>
      <c r="J420" s="49">
        <f>30/100*(E420+F420+G420)</f>
        <v>1.6585800000000002</v>
      </c>
      <c r="K420" s="50">
        <f t="shared" si="175"/>
        <v>8.679902000000002</v>
      </c>
      <c r="L420" s="51">
        <f t="shared" si="176"/>
        <v>12933053.980000002</v>
      </c>
      <c r="M420" s="58"/>
      <c r="N420" s="58"/>
      <c r="O420" s="51">
        <f t="shared" si="177"/>
        <v>12933053.980000002</v>
      </c>
      <c r="P420" s="53">
        <f t="shared" si="178"/>
        <v>1098485.8269</v>
      </c>
      <c r="Q420" s="54"/>
      <c r="R420" s="53">
        <f t="shared" si="173"/>
        <v>1098485.8269</v>
      </c>
      <c r="S420" s="53">
        <f>O420-R420</f>
        <v>11834568.153100003</v>
      </c>
      <c r="T420" s="59">
        <v>7.0000000000000007E-2</v>
      </c>
    </row>
    <row r="421" spans="1:20" ht="15.75">
      <c r="A421" s="21">
        <v>6</v>
      </c>
      <c r="B421" s="39" t="s">
        <v>21</v>
      </c>
      <c r="C421" s="40" t="s">
        <v>84</v>
      </c>
      <c r="D421" s="55" t="s">
        <v>62</v>
      </c>
      <c r="E421" s="24">
        <v>4.9800000000000004</v>
      </c>
      <c r="F421" s="47">
        <v>0.25</v>
      </c>
      <c r="G421" s="14"/>
      <c r="H421" s="10"/>
      <c r="I421" s="48">
        <f>(E421+F421+G421)*21%</f>
        <v>1.0983000000000001</v>
      </c>
      <c r="J421" s="49">
        <f t="shared" ref="J421" si="181">30/100*(E421+F421+G421)</f>
        <v>1.5690000000000002</v>
      </c>
      <c r="K421" s="50">
        <f t="shared" si="175"/>
        <v>7.8973000000000004</v>
      </c>
      <c r="L421" s="51">
        <f t="shared" si="176"/>
        <v>11766977</v>
      </c>
      <c r="M421" s="58"/>
      <c r="N421" s="58"/>
      <c r="O421" s="51">
        <f t="shared" si="177"/>
        <v>11766977</v>
      </c>
      <c r="P421" s="53">
        <f t="shared" si="178"/>
        <v>990062.53499999992</v>
      </c>
      <c r="Q421" s="54"/>
      <c r="R421" s="53">
        <f t="shared" si="173"/>
        <v>990062.53499999992</v>
      </c>
      <c r="S421" s="53">
        <f t="shared" ref="S421" si="182">O421-R421</f>
        <v>10776914.465</v>
      </c>
      <c r="T421" s="41"/>
    </row>
    <row r="422" spans="1:20" ht="16.5">
      <c r="A422" s="21">
        <v>7</v>
      </c>
      <c r="B422" s="39" t="s">
        <v>22</v>
      </c>
      <c r="C422" s="42" t="s">
        <v>31</v>
      </c>
      <c r="D422" s="55" t="s">
        <v>27</v>
      </c>
      <c r="E422" s="24">
        <v>4.8899999999999997</v>
      </c>
      <c r="F422" s="47"/>
      <c r="G422" s="57"/>
      <c r="H422" s="10"/>
      <c r="I422" s="48">
        <f>(E422+F422+G422)*27/100</f>
        <v>1.3203</v>
      </c>
      <c r="J422" s="49">
        <f>30/100*(E422+F422+G422)</f>
        <v>1.4669999999999999</v>
      </c>
      <c r="K422" s="50">
        <f t="shared" si="175"/>
        <v>7.6772999999999998</v>
      </c>
      <c r="L422" s="51">
        <f t="shared" si="176"/>
        <v>11439177</v>
      </c>
      <c r="M422" s="58"/>
      <c r="N422" s="58"/>
      <c r="O422" s="51">
        <f t="shared" si="177"/>
        <v>11439177</v>
      </c>
      <c r="P422" s="53">
        <f t="shared" si="178"/>
        <v>971601.43499999994</v>
      </c>
      <c r="Q422" s="54"/>
      <c r="R422" s="53">
        <f t="shared" si="173"/>
        <v>971601.43499999994</v>
      </c>
      <c r="S422" s="53">
        <f>O422-R422</f>
        <v>10467575.564999999</v>
      </c>
      <c r="T422" s="41"/>
    </row>
    <row r="423" spans="1:20" ht="15.75">
      <c r="A423" s="21">
        <v>8</v>
      </c>
      <c r="B423" s="39" t="s">
        <v>21</v>
      </c>
      <c r="C423" s="26" t="s">
        <v>70</v>
      </c>
      <c r="D423" s="55" t="s">
        <v>27</v>
      </c>
      <c r="E423" s="24">
        <v>4.9800000000000004</v>
      </c>
      <c r="F423" s="47"/>
      <c r="G423" s="14"/>
      <c r="H423" s="10"/>
      <c r="I423" s="48">
        <f>(E423+F423+G423)*22/100</f>
        <v>1.0956000000000001</v>
      </c>
      <c r="J423" s="49">
        <f t="shared" ref="J423:J425" si="183">30/100*(E423+F423+G423)</f>
        <v>1.494</v>
      </c>
      <c r="K423" s="50">
        <f t="shared" si="175"/>
        <v>7.5696000000000003</v>
      </c>
      <c r="L423" s="51">
        <f t="shared" si="176"/>
        <v>11278704</v>
      </c>
      <c r="M423" s="58"/>
      <c r="N423" s="58"/>
      <c r="O423" s="51">
        <f t="shared" si="177"/>
        <v>11278704</v>
      </c>
      <c r="P423" s="53">
        <f>((E423+F423+G423+I423)*1490000-M423)*10.5%</f>
        <v>950527.62</v>
      </c>
      <c r="Q423" s="54"/>
      <c r="R423" s="53">
        <f t="shared" si="173"/>
        <v>950527.62</v>
      </c>
      <c r="S423" s="53">
        <f>O423-R423</f>
        <v>10328176.380000001</v>
      </c>
      <c r="T423" s="150" t="s">
        <v>251</v>
      </c>
    </row>
    <row r="424" spans="1:20" ht="15.75">
      <c r="A424" s="21">
        <v>9</v>
      </c>
      <c r="B424" s="39" t="s">
        <v>21</v>
      </c>
      <c r="C424" s="26" t="s">
        <v>33</v>
      </c>
      <c r="D424" s="55" t="s">
        <v>29</v>
      </c>
      <c r="E424" s="24">
        <v>4.6500000000000004</v>
      </c>
      <c r="F424" s="47">
        <v>0.2</v>
      </c>
      <c r="G424" s="14"/>
      <c r="H424" s="10"/>
      <c r="I424" s="48">
        <f>(E424+F424+G424)*21/100</f>
        <v>1.0185000000000002</v>
      </c>
      <c r="J424" s="49">
        <f t="shared" si="183"/>
        <v>1.4550000000000001</v>
      </c>
      <c r="K424" s="50">
        <f t="shared" si="175"/>
        <v>7.323500000000001</v>
      </c>
      <c r="L424" s="51">
        <f t="shared" si="176"/>
        <v>10912015.000000002</v>
      </c>
      <c r="M424" s="58"/>
      <c r="N424" s="58"/>
      <c r="O424" s="51">
        <f t="shared" si="177"/>
        <v>10912015.000000002</v>
      </c>
      <c r="P424" s="53">
        <f t="shared" ref="P424:P425" si="184">((E424+F424+G424+I424)*1490000-M424)*10.5%</f>
        <v>918126.82500000019</v>
      </c>
      <c r="Q424" s="54"/>
      <c r="R424" s="53">
        <f t="shared" si="173"/>
        <v>918126.82500000019</v>
      </c>
      <c r="S424" s="53">
        <f t="shared" ref="S424:S426" si="185">O424-R424</f>
        <v>9993888.1750000007</v>
      </c>
      <c r="T424" s="150"/>
    </row>
    <row r="425" spans="1:20" ht="15.75">
      <c r="A425" s="21">
        <v>10</v>
      </c>
      <c r="B425" s="39" t="s">
        <v>21</v>
      </c>
      <c r="C425" s="26" t="s">
        <v>34</v>
      </c>
      <c r="D425" s="55" t="s">
        <v>27</v>
      </c>
      <c r="E425" s="24">
        <v>4.32</v>
      </c>
      <c r="F425" s="47"/>
      <c r="G425" s="14"/>
      <c r="H425" s="10"/>
      <c r="I425" s="48">
        <f>(E425+F425+G425)*18/100</f>
        <v>0.77760000000000007</v>
      </c>
      <c r="J425" s="49">
        <f t="shared" si="183"/>
        <v>1.296</v>
      </c>
      <c r="K425" s="50">
        <f t="shared" si="175"/>
        <v>6.3936000000000002</v>
      </c>
      <c r="L425" s="51">
        <f t="shared" si="176"/>
        <v>9526464</v>
      </c>
      <c r="M425" s="58"/>
      <c r="N425" s="58"/>
      <c r="O425" s="51">
        <f t="shared" si="177"/>
        <v>9526464</v>
      </c>
      <c r="P425" s="53">
        <f t="shared" si="184"/>
        <v>797519.52</v>
      </c>
      <c r="Q425" s="54"/>
      <c r="R425" s="53">
        <f t="shared" si="173"/>
        <v>797519.52</v>
      </c>
      <c r="S425" s="53">
        <f t="shared" si="185"/>
        <v>8728944.4800000004</v>
      </c>
      <c r="T425" s="150"/>
    </row>
    <row r="426" spans="1:20">
      <c r="A426" s="21">
        <v>11</v>
      </c>
      <c r="B426" s="39" t="s">
        <v>21</v>
      </c>
      <c r="C426" s="42" t="s">
        <v>36</v>
      </c>
      <c r="D426" s="55" t="s">
        <v>29</v>
      </c>
      <c r="E426" s="24">
        <v>4.32</v>
      </c>
      <c r="F426" s="47">
        <v>0.2</v>
      </c>
      <c r="G426" s="33"/>
      <c r="H426" s="35"/>
      <c r="I426" s="48">
        <f>(E426+F426+G426)*20%</f>
        <v>0.90400000000000014</v>
      </c>
      <c r="J426" s="49">
        <f>30/100*(E426+F426+G426)</f>
        <v>1.3560000000000001</v>
      </c>
      <c r="K426" s="50">
        <f t="shared" si="175"/>
        <v>6.78</v>
      </c>
      <c r="L426" s="51">
        <f t="shared" si="176"/>
        <v>10102200</v>
      </c>
      <c r="M426" s="58"/>
      <c r="N426" s="58"/>
      <c r="O426" s="51">
        <f t="shared" si="177"/>
        <v>10102200</v>
      </c>
      <c r="P426" s="53">
        <f>((E426+F426+G426+I426)*1490000-M426)*10.5%</f>
        <v>848584.8</v>
      </c>
      <c r="Q426" s="54"/>
      <c r="R426" s="53">
        <f t="shared" si="173"/>
        <v>848584.8</v>
      </c>
      <c r="S426" s="53">
        <f t="shared" si="185"/>
        <v>9253615.1999999993</v>
      </c>
      <c r="T426" s="151"/>
    </row>
    <row r="427" spans="1:20">
      <c r="A427" s="21">
        <v>12</v>
      </c>
      <c r="B427" s="39" t="s">
        <v>64</v>
      </c>
      <c r="C427" s="26" t="s">
        <v>59</v>
      </c>
      <c r="D427" s="55" t="s">
        <v>35</v>
      </c>
      <c r="E427" s="24">
        <v>4.2699999999999996</v>
      </c>
      <c r="F427" s="47">
        <v>0.2</v>
      </c>
      <c r="G427" s="33"/>
      <c r="H427" s="34">
        <v>0.1</v>
      </c>
      <c r="I427" s="48"/>
      <c r="J427" s="49"/>
      <c r="K427" s="50">
        <f t="shared" si="175"/>
        <v>4.5699999999999994</v>
      </c>
      <c r="L427" s="51">
        <f t="shared" si="176"/>
        <v>6809299.9999999991</v>
      </c>
      <c r="M427" s="58"/>
      <c r="N427" s="58"/>
      <c r="O427" s="51">
        <f t="shared" si="177"/>
        <v>6809299.9999999991</v>
      </c>
      <c r="P427" s="53">
        <f>((E427+F427+G427+I427)*1490000-M427)*10.5%</f>
        <v>699331.5</v>
      </c>
      <c r="Q427" s="54"/>
      <c r="R427" s="53">
        <f t="shared" si="173"/>
        <v>699331.5</v>
      </c>
      <c r="S427" s="53">
        <f>O427-R427</f>
        <v>6109968.4999999991</v>
      </c>
      <c r="T427" s="151"/>
    </row>
    <row r="428" spans="1:20">
      <c r="A428" s="21">
        <v>13</v>
      </c>
      <c r="B428" s="39" t="s">
        <v>21</v>
      </c>
      <c r="C428" s="40" t="s">
        <v>69</v>
      </c>
      <c r="D428" s="55" t="s">
        <v>27</v>
      </c>
      <c r="E428" s="24">
        <v>4.6500000000000004</v>
      </c>
      <c r="F428" s="47"/>
      <c r="G428" s="33"/>
      <c r="H428" s="35"/>
      <c r="I428" s="48">
        <f>(E428+F428+G428)*20/100</f>
        <v>0.93</v>
      </c>
      <c r="J428" s="49">
        <f>30/100*(E428+F428+G428)</f>
        <v>1.395</v>
      </c>
      <c r="K428" s="50">
        <f t="shared" si="175"/>
        <v>6.9749999999999996</v>
      </c>
      <c r="L428" s="51">
        <f t="shared" si="176"/>
        <v>10392750</v>
      </c>
      <c r="M428" s="58"/>
      <c r="N428" s="58"/>
      <c r="O428" s="51">
        <f t="shared" si="177"/>
        <v>10392750</v>
      </c>
      <c r="P428" s="53">
        <f t="shared" ref="P428:P446" si="186">((E428+F428+G428+I428)*1490000-M428)*10.5%</f>
        <v>872991</v>
      </c>
      <c r="Q428" s="54"/>
      <c r="R428" s="53">
        <f t="shared" si="173"/>
        <v>872991</v>
      </c>
      <c r="S428" s="53">
        <f t="shared" ref="S428:S435" si="187">O428-R428</f>
        <v>9519759</v>
      </c>
      <c r="T428" s="150" t="s">
        <v>251</v>
      </c>
    </row>
    <row r="429" spans="1:20">
      <c r="A429" s="21">
        <v>14</v>
      </c>
      <c r="B429" s="39" t="s">
        <v>21</v>
      </c>
      <c r="C429" s="40" t="s">
        <v>37</v>
      </c>
      <c r="D429" s="55" t="s">
        <v>27</v>
      </c>
      <c r="E429" s="24">
        <v>4.32</v>
      </c>
      <c r="F429" s="24"/>
      <c r="G429" s="33"/>
      <c r="H429" s="35"/>
      <c r="I429" s="48">
        <f>(E429+F429+G429)*20/100</f>
        <v>0.8640000000000001</v>
      </c>
      <c r="J429" s="49">
        <f>30/100*(E429+F429+G429)</f>
        <v>1.296</v>
      </c>
      <c r="K429" s="50">
        <f t="shared" si="175"/>
        <v>6.48</v>
      </c>
      <c r="L429" s="51">
        <f t="shared" si="176"/>
        <v>9655200</v>
      </c>
      <c r="M429" s="58"/>
      <c r="N429" s="58"/>
      <c r="O429" s="51">
        <f t="shared" si="177"/>
        <v>9655200</v>
      </c>
      <c r="P429" s="53">
        <f t="shared" si="186"/>
        <v>811036.79999999993</v>
      </c>
      <c r="Q429" s="54"/>
      <c r="R429" s="53">
        <f t="shared" si="173"/>
        <v>811036.79999999993</v>
      </c>
      <c r="S429" s="53">
        <f t="shared" si="187"/>
        <v>8844163.1999999993</v>
      </c>
      <c r="T429" s="2"/>
    </row>
    <row r="430" spans="1:20">
      <c r="A430" s="21">
        <v>15</v>
      </c>
      <c r="B430" s="39" t="s">
        <v>21</v>
      </c>
      <c r="C430" s="40" t="s">
        <v>71</v>
      </c>
      <c r="D430" s="55" t="s">
        <v>27</v>
      </c>
      <c r="E430" s="24">
        <v>4.32</v>
      </c>
      <c r="F430" s="24"/>
      <c r="G430" s="33"/>
      <c r="H430" s="35"/>
      <c r="I430" s="48">
        <f>(E430+F430+G430)*19/100</f>
        <v>0.82080000000000009</v>
      </c>
      <c r="J430" s="49">
        <f t="shared" ref="J430:J432" si="188">30/100*(E430+F430+G430)</f>
        <v>1.296</v>
      </c>
      <c r="K430" s="50">
        <f t="shared" si="175"/>
        <v>6.4368000000000007</v>
      </c>
      <c r="L430" s="51">
        <f t="shared" si="176"/>
        <v>9590832.0000000019</v>
      </c>
      <c r="M430" s="58"/>
      <c r="N430" s="58"/>
      <c r="O430" s="51">
        <f t="shared" si="177"/>
        <v>9590832.0000000019</v>
      </c>
      <c r="P430" s="53">
        <f t="shared" si="186"/>
        <v>804278.16</v>
      </c>
      <c r="Q430" s="54"/>
      <c r="R430" s="53">
        <f t="shared" si="173"/>
        <v>804278.16</v>
      </c>
      <c r="S430" s="53">
        <f t="shared" si="187"/>
        <v>8786553.8400000017</v>
      </c>
      <c r="T430" s="41"/>
    </row>
    <row r="431" spans="1:20">
      <c r="A431" s="21">
        <v>16</v>
      </c>
      <c r="B431" s="39" t="s">
        <v>21</v>
      </c>
      <c r="C431" s="40" t="s">
        <v>38</v>
      </c>
      <c r="D431" s="55" t="s">
        <v>27</v>
      </c>
      <c r="E431" s="24">
        <v>4.32</v>
      </c>
      <c r="F431" s="24"/>
      <c r="G431" s="33"/>
      <c r="H431" s="35"/>
      <c r="I431" s="48">
        <f>(E431+F431+G431)*18%</f>
        <v>0.77760000000000007</v>
      </c>
      <c r="J431" s="49">
        <f t="shared" si="188"/>
        <v>1.296</v>
      </c>
      <c r="K431" s="50">
        <f t="shared" si="175"/>
        <v>6.3936000000000002</v>
      </c>
      <c r="L431" s="51">
        <f t="shared" si="176"/>
        <v>9526464</v>
      </c>
      <c r="M431" s="58"/>
      <c r="N431" s="58"/>
      <c r="O431" s="51">
        <f t="shared" si="177"/>
        <v>9526464</v>
      </c>
      <c r="P431" s="53">
        <f t="shared" si="186"/>
        <v>797519.52</v>
      </c>
      <c r="Q431" s="54"/>
      <c r="R431" s="53">
        <f t="shared" si="173"/>
        <v>797519.52</v>
      </c>
      <c r="S431" s="53">
        <f t="shared" si="187"/>
        <v>8728944.4800000004</v>
      </c>
      <c r="T431" s="41"/>
    </row>
    <row r="432" spans="1:20">
      <c r="A432" s="21">
        <v>17</v>
      </c>
      <c r="B432" s="39" t="s">
        <v>21</v>
      </c>
      <c r="C432" s="40" t="s">
        <v>72</v>
      </c>
      <c r="D432" s="55" t="s">
        <v>27</v>
      </c>
      <c r="E432" s="24">
        <v>4.32</v>
      </c>
      <c r="F432" s="24"/>
      <c r="G432" s="33"/>
      <c r="H432" s="35"/>
      <c r="I432" s="48">
        <f>(E432+F432+G432)*18%</f>
        <v>0.77760000000000007</v>
      </c>
      <c r="J432" s="49">
        <f t="shared" si="188"/>
        <v>1.296</v>
      </c>
      <c r="K432" s="50">
        <f t="shared" si="175"/>
        <v>6.3936000000000002</v>
      </c>
      <c r="L432" s="51">
        <f t="shared" si="176"/>
        <v>9526464</v>
      </c>
      <c r="M432" s="58"/>
      <c r="N432" s="58"/>
      <c r="O432" s="51">
        <f t="shared" si="177"/>
        <v>9526464</v>
      </c>
      <c r="P432" s="53">
        <f t="shared" si="186"/>
        <v>797519.52</v>
      </c>
      <c r="Q432" s="54"/>
      <c r="R432" s="53">
        <f t="shared" si="173"/>
        <v>797519.52</v>
      </c>
      <c r="S432" s="53">
        <f t="shared" si="187"/>
        <v>8728944.4800000004</v>
      </c>
      <c r="T432" s="41"/>
    </row>
    <row r="433" spans="1:20">
      <c r="A433" s="21">
        <v>18</v>
      </c>
      <c r="B433" s="39" t="s">
        <v>21</v>
      </c>
      <c r="C433" s="40" t="s">
        <v>91</v>
      </c>
      <c r="D433" s="55" t="s">
        <v>27</v>
      </c>
      <c r="E433" s="24">
        <v>4.32</v>
      </c>
      <c r="F433" s="24">
        <v>0.15</v>
      </c>
      <c r="G433" s="60"/>
      <c r="H433" s="35"/>
      <c r="I433" s="48">
        <f>(E433+F433+G433)*19%</f>
        <v>0.84930000000000017</v>
      </c>
      <c r="J433" s="49">
        <f>30/100*(E433+F433+G433)</f>
        <v>1.3410000000000002</v>
      </c>
      <c r="K433" s="61">
        <f t="shared" si="175"/>
        <v>6.6603000000000012</v>
      </c>
      <c r="L433" s="62">
        <f t="shared" si="176"/>
        <v>9923847.0000000019</v>
      </c>
      <c r="M433" s="63"/>
      <c r="N433" s="63"/>
      <c r="O433" s="62">
        <f t="shared" si="177"/>
        <v>9923847.0000000019</v>
      </c>
      <c r="P433" s="64">
        <f t="shared" si="186"/>
        <v>832204.48500000022</v>
      </c>
      <c r="Q433" s="54"/>
      <c r="R433" s="64">
        <f t="shared" si="173"/>
        <v>832204.48500000022</v>
      </c>
      <c r="S433" s="64">
        <f t="shared" si="187"/>
        <v>9091642.5150000025</v>
      </c>
      <c r="T433" s="41"/>
    </row>
    <row r="434" spans="1:20">
      <c r="A434" s="21">
        <v>19</v>
      </c>
      <c r="B434" s="39" t="s">
        <v>21</v>
      </c>
      <c r="C434" s="40" t="s">
        <v>39</v>
      </c>
      <c r="D434" s="55" t="s">
        <v>27</v>
      </c>
      <c r="E434" s="24">
        <v>4.32</v>
      </c>
      <c r="F434" s="24"/>
      <c r="G434" s="33"/>
      <c r="H434" s="36"/>
      <c r="I434" s="48">
        <f>(E434+F434+G434)*21%</f>
        <v>0.90720000000000001</v>
      </c>
      <c r="J434" s="49">
        <f>30/100*(E434+F434+G434)</f>
        <v>1.296</v>
      </c>
      <c r="K434" s="50">
        <f t="shared" si="175"/>
        <v>6.5232000000000001</v>
      </c>
      <c r="L434" s="51">
        <f t="shared" si="176"/>
        <v>9719568</v>
      </c>
      <c r="M434" s="58"/>
      <c r="N434" s="58"/>
      <c r="O434" s="51">
        <f t="shared" si="177"/>
        <v>9719568</v>
      </c>
      <c r="P434" s="53">
        <f t="shared" si="186"/>
        <v>817795.44</v>
      </c>
      <c r="Q434" s="54"/>
      <c r="R434" s="53">
        <f t="shared" si="173"/>
        <v>817795.44</v>
      </c>
      <c r="S434" s="53">
        <f t="shared" si="187"/>
        <v>8901772.5600000005</v>
      </c>
      <c r="T434" s="41"/>
    </row>
    <row r="435" spans="1:20" ht="16.5">
      <c r="A435" s="21">
        <v>20</v>
      </c>
      <c r="B435" s="39" t="s">
        <v>22</v>
      </c>
      <c r="C435" s="40" t="s">
        <v>40</v>
      </c>
      <c r="D435" s="55" t="s">
        <v>90</v>
      </c>
      <c r="E435" s="24">
        <v>3.96</v>
      </c>
      <c r="F435" s="24">
        <v>0.15</v>
      </c>
      <c r="G435" s="33"/>
      <c r="H435" s="36"/>
      <c r="I435" s="48">
        <f>(E435+F435+G435)*18/100</f>
        <v>0.73980000000000001</v>
      </c>
      <c r="J435" s="49">
        <f t="shared" ref="J435" si="189">30/100*(E435+F435+G435)</f>
        <v>1.2330000000000001</v>
      </c>
      <c r="K435" s="50">
        <f t="shared" si="175"/>
        <v>6.0828000000000007</v>
      </c>
      <c r="L435" s="51">
        <f t="shared" si="176"/>
        <v>9063372.0000000019</v>
      </c>
      <c r="M435" s="58"/>
      <c r="N435" s="58"/>
      <c r="O435" s="51">
        <f t="shared" si="177"/>
        <v>9063372.0000000019</v>
      </c>
      <c r="P435" s="53">
        <f t="shared" si="186"/>
        <v>758751.21</v>
      </c>
      <c r="Q435" s="54"/>
      <c r="R435" s="53">
        <f t="shared" si="173"/>
        <v>758751.21</v>
      </c>
      <c r="S435" s="53">
        <f t="shared" si="187"/>
        <v>8304620.7900000019</v>
      </c>
      <c r="T435" s="41"/>
    </row>
    <row r="436" spans="1:20" ht="15.75">
      <c r="A436" s="21">
        <v>21</v>
      </c>
      <c r="B436" s="39" t="s">
        <v>21</v>
      </c>
      <c r="C436" s="40" t="s">
        <v>73</v>
      </c>
      <c r="D436" s="55" t="s">
        <v>27</v>
      </c>
      <c r="E436" s="24">
        <v>3.99</v>
      </c>
      <c r="F436" s="24"/>
      <c r="G436" s="14"/>
      <c r="H436" s="10"/>
      <c r="I436" s="48">
        <f>(E436+F436+G436)*17%</f>
        <v>0.67830000000000013</v>
      </c>
      <c r="J436" s="49">
        <f>30/100*(E436+F436+G436)</f>
        <v>1.1970000000000001</v>
      </c>
      <c r="K436" s="50">
        <f t="shared" si="175"/>
        <v>5.8653000000000004</v>
      </c>
      <c r="L436" s="51">
        <f t="shared" si="176"/>
        <v>8739297</v>
      </c>
      <c r="M436" s="65"/>
      <c r="N436" s="65"/>
      <c r="O436" s="51">
        <f>L436-M436+N436</f>
        <v>8739297</v>
      </c>
      <c r="P436" s="53">
        <f t="shared" si="186"/>
        <v>730355.53500000003</v>
      </c>
      <c r="Q436" s="54"/>
      <c r="R436" s="53">
        <f t="shared" si="173"/>
        <v>730355.53500000003</v>
      </c>
      <c r="S436" s="53">
        <f>O436-R436-N436</f>
        <v>8008941.4649999999</v>
      </c>
      <c r="T436" s="41"/>
    </row>
    <row r="437" spans="1:20" ht="15.75">
      <c r="A437" s="21">
        <v>22</v>
      </c>
      <c r="B437" s="39" t="s">
        <v>21</v>
      </c>
      <c r="C437" s="40" t="s">
        <v>41</v>
      </c>
      <c r="D437" s="55" t="s">
        <v>27</v>
      </c>
      <c r="E437" s="24">
        <v>3.99</v>
      </c>
      <c r="F437" s="56"/>
      <c r="G437" s="14"/>
      <c r="H437" s="10"/>
      <c r="I437" s="48">
        <f>(E437+F437+G437)*17/100</f>
        <v>0.67830000000000001</v>
      </c>
      <c r="J437" s="49">
        <f t="shared" ref="J437:J442" si="190">30/100*(E437+F437+G437)</f>
        <v>1.1970000000000001</v>
      </c>
      <c r="K437" s="50">
        <f t="shared" si="175"/>
        <v>5.8653000000000004</v>
      </c>
      <c r="L437" s="51">
        <f t="shared" si="176"/>
        <v>8739297</v>
      </c>
      <c r="M437" s="58"/>
      <c r="N437" s="58"/>
      <c r="O437" s="51">
        <f t="shared" ref="O437:O442" si="191">L437-M437+N437</f>
        <v>8739297</v>
      </c>
      <c r="P437" s="53">
        <f t="shared" si="186"/>
        <v>730355.53500000003</v>
      </c>
      <c r="Q437" s="54"/>
      <c r="R437" s="53">
        <f t="shared" si="173"/>
        <v>730355.53500000003</v>
      </c>
      <c r="S437" s="53">
        <f t="shared" ref="S437:S440" si="192">O437-R437</f>
        <v>8008941.4649999999</v>
      </c>
      <c r="T437" s="41"/>
    </row>
    <row r="438" spans="1:20">
      <c r="A438" s="21">
        <v>23</v>
      </c>
      <c r="B438" s="39" t="s">
        <v>21</v>
      </c>
      <c r="C438" s="40" t="s">
        <v>42</v>
      </c>
      <c r="D438" s="55" t="s">
        <v>27</v>
      </c>
      <c r="E438" s="24">
        <v>3.99</v>
      </c>
      <c r="F438" s="56"/>
      <c r="G438" s="14"/>
      <c r="H438" s="24">
        <v>0.1</v>
      </c>
      <c r="I438" s="48">
        <f>(E438+F438+G438)*17/100</f>
        <v>0.67830000000000001</v>
      </c>
      <c r="J438" s="49">
        <f t="shared" si="190"/>
        <v>1.1970000000000001</v>
      </c>
      <c r="K438" s="50">
        <f t="shared" si="175"/>
        <v>5.9653</v>
      </c>
      <c r="L438" s="51">
        <f t="shared" si="176"/>
        <v>8888297</v>
      </c>
      <c r="M438" s="58"/>
      <c r="N438" s="58"/>
      <c r="O438" s="51">
        <f t="shared" si="191"/>
        <v>8888297</v>
      </c>
      <c r="P438" s="53">
        <f t="shared" si="186"/>
        <v>730355.53500000003</v>
      </c>
      <c r="Q438" s="54"/>
      <c r="R438" s="53">
        <f t="shared" si="173"/>
        <v>730355.53500000003</v>
      </c>
      <c r="S438" s="53">
        <f t="shared" si="192"/>
        <v>8157941.4649999999</v>
      </c>
      <c r="T438" s="41"/>
    </row>
    <row r="439" spans="1:20" ht="15.75">
      <c r="A439" s="21">
        <v>24</v>
      </c>
      <c r="B439" s="39" t="s">
        <v>21</v>
      </c>
      <c r="C439" s="26" t="s">
        <v>74</v>
      </c>
      <c r="D439" s="55" t="s">
        <v>27</v>
      </c>
      <c r="E439" s="24">
        <v>3.99</v>
      </c>
      <c r="F439" s="56"/>
      <c r="G439" s="14"/>
      <c r="H439" s="10"/>
      <c r="I439" s="66">
        <f>(E439+F439+G439)*16/100</f>
        <v>0.63840000000000008</v>
      </c>
      <c r="J439" s="67">
        <f t="shared" si="190"/>
        <v>1.1970000000000001</v>
      </c>
      <c r="K439" s="68">
        <f t="shared" si="175"/>
        <v>5.8254000000000001</v>
      </c>
      <c r="L439" s="69">
        <f t="shared" si="176"/>
        <v>8679846</v>
      </c>
      <c r="M439" s="70"/>
      <c r="N439" s="70"/>
      <c r="O439" s="69">
        <f t="shared" si="191"/>
        <v>8679846</v>
      </c>
      <c r="P439" s="71">
        <f t="shared" si="186"/>
        <v>724113.17999999993</v>
      </c>
      <c r="Q439" s="54"/>
      <c r="R439" s="71">
        <f t="shared" si="173"/>
        <v>724113.17999999993</v>
      </c>
      <c r="S439" s="71">
        <f t="shared" si="192"/>
        <v>7955732.8200000003</v>
      </c>
      <c r="T439" s="41"/>
    </row>
    <row r="440" spans="1:20" ht="15.75">
      <c r="A440" s="21">
        <v>25</v>
      </c>
      <c r="B440" s="72" t="s">
        <v>21</v>
      </c>
      <c r="C440" s="26" t="s">
        <v>43</v>
      </c>
      <c r="D440" s="55" t="s">
        <v>27</v>
      </c>
      <c r="E440" s="24">
        <v>3.99</v>
      </c>
      <c r="F440" s="56"/>
      <c r="G440" s="14"/>
      <c r="H440" s="10"/>
      <c r="I440" s="66">
        <f>(E440+F440+G440)*16/100</f>
        <v>0.63840000000000008</v>
      </c>
      <c r="J440" s="67">
        <f t="shared" si="190"/>
        <v>1.1970000000000001</v>
      </c>
      <c r="K440" s="68">
        <f t="shared" si="175"/>
        <v>5.8254000000000001</v>
      </c>
      <c r="L440" s="69">
        <f t="shared" si="176"/>
        <v>8679846</v>
      </c>
      <c r="M440" s="70"/>
      <c r="N440" s="70"/>
      <c r="O440" s="69">
        <f t="shared" si="191"/>
        <v>8679846</v>
      </c>
      <c r="P440" s="71">
        <f t="shared" si="186"/>
        <v>724113.17999999993</v>
      </c>
      <c r="Q440" s="54"/>
      <c r="R440" s="71">
        <f t="shared" si="173"/>
        <v>724113.17999999993</v>
      </c>
      <c r="S440" s="71">
        <f t="shared" si="192"/>
        <v>7955732.8200000003</v>
      </c>
      <c r="T440" s="41"/>
    </row>
    <row r="441" spans="1:20" ht="15.75">
      <c r="A441" s="21">
        <v>26</v>
      </c>
      <c r="B441" s="39" t="s">
        <v>21</v>
      </c>
      <c r="C441" s="26" t="s">
        <v>58</v>
      </c>
      <c r="D441" s="55" t="s">
        <v>27</v>
      </c>
      <c r="E441" s="24">
        <v>3.33</v>
      </c>
      <c r="F441" s="56"/>
      <c r="G441" s="14"/>
      <c r="H441" s="10"/>
      <c r="I441" s="48">
        <f>(E441+F441+G441)*11%</f>
        <v>0.36630000000000001</v>
      </c>
      <c r="J441" s="49">
        <f t="shared" si="190"/>
        <v>0.999</v>
      </c>
      <c r="K441" s="50">
        <f t="shared" si="175"/>
        <v>4.6952999999999996</v>
      </c>
      <c r="L441" s="51">
        <f t="shared" si="176"/>
        <v>6995996.9999999991</v>
      </c>
      <c r="M441" s="58"/>
      <c r="N441" s="58"/>
      <c r="O441" s="51">
        <f t="shared" si="191"/>
        <v>6995996.9999999991</v>
      </c>
      <c r="P441" s="53">
        <f t="shared" si="186"/>
        <v>578286.13500000001</v>
      </c>
      <c r="Q441" s="54"/>
      <c r="R441" s="53">
        <f t="shared" si="173"/>
        <v>578286.13500000001</v>
      </c>
      <c r="S441" s="53">
        <f>O441-R441</f>
        <v>6417710.8649999993</v>
      </c>
      <c r="T441" s="41"/>
    </row>
    <row r="442" spans="1:20" ht="15.75">
      <c r="A442" s="21">
        <v>27</v>
      </c>
      <c r="B442" s="39" t="s">
        <v>21</v>
      </c>
      <c r="C442" s="40" t="s">
        <v>44</v>
      </c>
      <c r="D442" s="55" t="s">
        <v>27</v>
      </c>
      <c r="E442" s="24">
        <v>3.99</v>
      </c>
      <c r="F442" s="56"/>
      <c r="G442" s="14"/>
      <c r="H442" s="10"/>
      <c r="I442" s="48">
        <f>(E442+F442+G442)*15/100</f>
        <v>0.59850000000000003</v>
      </c>
      <c r="J442" s="49">
        <f t="shared" si="190"/>
        <v>1.1970000000000001</v>
      </c>
      <c r="K442" s="50">
        <f t="shared" si="175"/>
        <v>5.7854999999999999</v>
      </c>
      <c r="L442" s="51">
        <f t="shared" si="176"/>
        <v>8620395</v>
      </c>
      <c r="M442" s="58"/>
      <c r="N442" s="58"/>
      <c r="O442" s="51">
        <f t="shared" si="191"/>
        <v>8620395</v>
      </c>
      <c r="P442" s="53">
        <f t="shared" si="186"/>
        <v>717870.82499999995</v>
      </c>
      <c r="Q442" s="54"/>
      <c r="R442" s="53">
        <f t="shared" si="173"/>
        <v>717870.82499999995</v>
      </c>
      <c r="S442" s="53">
        <f t="shared" ref="S442:S445" si="193">O442-R442</f>
        <v>7902524.1749999998</v>
      </c>
      <c r="T442" s="41"/>
    </row>
    <row r="443" spans="1:20" ht="15.75">
      <c r="A443" s="21">
        <v>28</v>
      </c>
      <c r="B443" s="39" t="s">
        <v>53</v>
      </c>
      <c r="C443" s="73" t="s">
        <v>75</v>
      </c>
      <c r="D443" s="55" t="s">
        <v>83</v>
      </c>
      <c r="E443" s="74">
        <v>3.46</v>
      </c>
      <c r="F443" s="56">
        <v>0.15</v>
      </c>
      <c r="G443" s="14"/>
      <c r="H443" s="10"/>
      <c r="I443" s="48"/>
      <c r="J443" s="49"/>
      <c r="K443" s="50">
        <f>E443+F443+G443+H443+I443+J443</f>
        <v>3.61</v>
      </c>
      <c r="L443" s="51">
        <f>K443*1490000</f>
        <v>5378900</v>
      </c>
      <c r="M443" s="65"/>
      <c r="N443" s="75"/>
      <c r="O443" s="51">
        <f>L443-M443+N443</f>
        <v>5378900</v>
      </c>
      <c r="P443" s="53">
        <f t="shared" si="186"/>
        <v>564784.5</v>
      </c>
      <c r="Q443" s="54"/>
      <c r="R443" s="53">
        <f t="shared" si="173"/>
        <v>564784.5</v>
      </c>
      <c r="S443" s="53">
        <f t="shared" si="193"/>
        <v>4814115.5</v>
      </c>
      <c r="T443" s="41"/>
    </row>
    <row r="444" spans="1:20" ht="16.5">
      <c r="A444" s="21">
        <v>29</v>
      </c>
      <c r="B444" s="39" t="s">
        <v>89</v>
      </c>
      <c r="C444" s="42" t="s">
        <v>46</v>
      </c>
      <c r="D444" s="55" t="s">
        <v>27</v>
      </c>
      <c r="E444" s="24">
        <v>4</v>
      </c>
      <c r="F444" s="24"/>
      <c r="G444" s="14"/>
      <c r="H444" s="10"/>
      <c r="I444" s="48">
        <f>(E444+F444+G444)*13%</f>
        <v>0.52</v>
      </c>
      <c r="J444" s="49">
        <f t="shared" ref="J444:J445" si="194">30/100*(E444+F444+G444)</f>
        <v>1.2</v>
      </c>
      <c r="K444" s="50">
        <f t="shared" ref="K444:K446" si="195">E444+F444+G444+H444+I444+J444</f>
        <v>5.72</v>
      </c>
      <c r="L444" s="51">
        <f t="shared" ref="L444:L448" si="196">K444*1490000</f>
        <v>8522800</v>
      </c>
      <c r="M444" s="58"/>
      <c r="N444" s="58"/>
      <c r="O444" s="51">
        <f t="shared" ref="O444:O452" si="197">L444-M444+N444</f>
        <v>8522800</v>
      </c>
      <c r="P444" s="53">
        <f t="shared" si="186"/>
        <v>707153.99999999988</v>
      </c>
      <c r="Q444" s="54"/>
      <c r="R444" s="53">
        <f t="shared" si="173"/>
        <v>707153.99999999988</v>
      </c>
      <c r="S444" s="76">
        <f t="shared" si="193"/>
        <v>7815646</v>
      </c>
      <c r="T444" s="41"/>
    </row>
    <row r="445" spans="1:20" ht="15.75">
      <c r="A445" s="21">
        <v>30</v>
      </c>
      <c r="B445" s="39" t="s">
        <v>21</v>
      </c>
      <c r="C445" s="40" t="s">
        <v>47</v>
      </c>
      <c r="D445" s="55" t="s">
        <v>27</v>
      </c>
      <c r="E445" s="24">
        <v>3.99</v>
      </c>
      <c r="F445" s="24"/>
      <c r="G445" s="14"/>
      <c r="H445" s="10"/>
      <c r="I445" s="48">
        <f>(E445+F445+G445)*15%</f>
        <v>0.59850000000000003</v>
      </c>
      <c r="J445" s="49">
        <f t="shared" si="194"/>
        <v>1.1970000000000001</v>
      </c>
      <c r="K445" s="50">
        <f t="shared" si="195"/>
        <v>5.7854999999999999</v>
      </c>
      <c r="L445" s="51">
        <f t="shared" si="196"/>
        <v>8620395</v>
      </c>
      <c r="M445" s="53"/>
      <c r="N445" s="58"/>
      <c r="O445" s="51">
        <f t="shared" si="197"/>
        <v>8620395</v>
      </c>
      <c r="P445" s="53">
        <f t="shared" si="186"/>
        <v>717870.82499999995</v>
      </c>
      <c r="Q445" s="54"/>
      <c r="R445" s="53">
        <f t="shared" si="173"/>
        <v>717870.82499999995</v>
      </c>
      <c r="S445" s="76">
        <f t="shared" si="193"/>
        <v>7902524.1749999998</v>
      </c>
      <c r="T445" s="41"/>
    </row>
    <row r="446" spans="1:20" ht="15.75">
      <c r="A446" s="21">
        <v>31</v>
      </c>
      <c r="B446" s="39" t="s">
        <v>21</v>
      </c>
      <c r="C446" s="40" t="s">
        <v>48</v>
      </c>
      <c r="D446" s="55" t="s">
        <v>27</v>
      </c>
      <c r="E446" s="24">
        <v>3.66</v>
      </c>
      <c r="F446" s="24"/>
      <c r="G446" s="14"/>
      <c r="H446" s="10"/>
      <c r="I446" s="48">
        <f>(E446+F446+G446)*13%</f>
        <v>0.47580000000000006</v>
      </c>
      <c r="J446" s="49">
        <f>30/100*(E446+F446+G446)</f>
        <v>1.0980000000000001</v>
      </c>
      <c r="K446" s="50">
        <f t="shared" si="195"/>
        <v>5.2338000000000005</v>
      </c>
      <c r="L446" s="51">
        <f t="shared" si="196"/>
        <v>7798362.0000000009</v>
      </c>
      <c r="M446" s="53"/>
      <c r="N446" s="58"/>
      <c r="O446" s="51">
        <f t="shared" si="197"/>
        <v>7798362.0000000009</v>
      </c>
      <c r="P446" s="53">
        <f t="shared" si="186"/>
        <v>647045.91</v>
      </c>
      <c r="Q446" s="54"/>
      <c r="R446" s="53">
        <f t="shared" si="173"/>
        <v>647045.91</v>
      </c>
      <c r="S446" s="76">
        <f>O446-R446</f>
        <v>7151316.0900000008</v>
      </c>
      <c r="T446" s="41"/>
    </row>
    <row r="447" spans="1:20" ht="15.75">
      <c r="A447" s="21">
        <v>32</v>
      </c>
      <c r="B447" s="39" t="s">
        <v>21</v>
      </c>
      <c r="C447" s="40" t="s">
        <v>92</v>
      </c>
      <c r="D447" s="55" t="s">
        <v>27</v>
      </c>
      <c r="E447" s="24">
        <v>3.33</v>
      </c>
      <c r="F447" s="24"/>
      <c r="G447" s="14"/>
      <c r="H447" s="10"/>
      <c r="I447" s="48">
        <f>(E447+F447+G447)*10%</f>
        <v>0.33300000000000002</v>
      </c>
      <c r="J447" s="49">
        <f>30/100*(E447+F447+G447)</f>
        <v>0.999</v>
      </c>
      <c r="K447" s="50">
        <f>E447+F447+G447+H447+I447+J447</f>
        <v>4.6619999999999999</v>
      </c>
      <c r="L447" s="51">
        <f t="shared" si="196"/>
        <v>6946380</v>
      </c>
      <c r="M447" s="53"/>
      <c r="N447" s="53"/>
      <c r="O447" s="51">
        <f t="shared" si="197"/>
        <v>6946380</v>
      </c>
      <c r="P447" s="53">
        <f>((E447+F447+G447+I447)*1490000)*10.5%</f>
        <v>573076.35</v>
      </c>
      <c r="Q447" s="54"/>
      <c r="R447" s="53">
        <f t="shared" si="173"/>
        <v>573076.35</v>
      </c>
      <c r="S447" s="76">
        <f t="shared" ref="S447:S448" si="198">O447-R447</f>
        <v>6373303.6500000004</v>
      </c>
      <c r="T447" s="41"/>
    </row>
    <row r="448" spans="1:20" ht="15.75">
      <c r="A448" s="21">
        <v>33</v>
      </c>
      <c r="B448" s="39" t="s">
        <v>21</v>
      </c>
      <c r="C448" s="40" t="s">
        <v>93</v>
      </c>
      <c r="D448" s="55" t="s">
        <v>27</v>
      </c>
      <c r="E448" s="24">
        <v>3.66</v>
      </c>
      <c r="F448" s="24"/>
      <c r="G448" s="14"/>
      <c r="H448" s="10"/>
      <c r="I448" s="48">
        <f>(E448+F448+G448)*11%</f>
        <v>0.40260000000000001</v>
      </c>
      <c r="J448" s="49">
        <f>30/100*(E448+F448+G448)</f>
        <v>1.0980000000000001</v>
      </c>
      <c r="K448" s="50">
        <f>E448+F448+G448+H448+I448+J448</f>
        <v>5.1605999999999996</v>
      </c>
      <c r="L448" s="51">
        <f t="shared" si="196"/>
        <v>7689293.9999999991</v>
      </c>
      <c r="M448" s="53"/>
      <c r="N448" s="53"/>
      <c r="O448" s="51">
        <f t="shared" si="197"/>
        <v>7689293.9999999991</v>
      </c>
      <c r="P448" s="53">
        <f>((E448+F448+G448+I448)*1490000)*10.5%</f>
        <v>635593.77</v>
      </c>
      <c r="Q448" s="54"/>
      <c r="R448" s="53">
        <f t="shared" si="173"/>
        <v>635593.77</v>
      </c>
      <c r="S448" s="76">
        <f t="shared" si="198"/>
        <v>7053700.2299999986</v>
      </c>
      <c r="T448" s="41"/>
    </row>
    <row r="449" spans="1:20" ht="16.5">
      <c r="A449" s="21">
        <v>34</v>
      </c>
      <c r="B449" s="39" t="s">
        <v>94</v>
      </c>
      <c r="C449" s="42" t="s">
        <v>95</v>
      </c>
      <c r="D449" s="77" t="s">
        <v>27</v>
      </c>
      <c r="E449" s="24">
        <v>3</v>
      </c>
      <c r="F449" s="24"/>
      <c r="G449" s="14"/>
      <c r="H449" s="11"/>
      <c r="I449" s="48"/>
      <c r="J449" s="49">
        <f>30/100*(E449+F449+G449)</f>
        <v>0.89999999999999991</v>
      </c>
      <c r="K449" s="50">
        <f>E449+F449+G449+H449+I449+J449</f>
        <v>3.9</v>
      </c>
      <c r="L449" s="51">
        <f>K449*1490000</f>
        <v>5811000</v>
      </c>
      <c r="M449" s="65"/>
      <c r="N449" s="65"/>
      <c r="O449" s="51">
        <f t="shared" si="197"/>
        <v>5811000</v>
      </c>
      <c r="P449" s="53">
        <f t="shared" ref="P449:P450" si="199">((E449+F449+G449+I449)*1490000-M449)*10.5%</f>
        <v>469350</v>
      </c>
      <c r="Q449" s="54"/>
      <c r="R449" s="53">
        <f t="shared" si="173"/>
        <v>469350</v>
      </c>
      <c r="S449" s="76">
        <f>O449-R449-N449</f>
        <v>5341650</v>
      </c>
      <c r="T449" s="41"/>
    </row>
    <row r="450" spans="1:20">
      <c r="A450" s="21">
        <v>35</v>
      </c>
      <c r="B450" s="39" t="s">
        <v>23</v>
      </c>
      <c r="C450" s="40" t="s">
        <v>49</v>
      </c>
      <c r="D450" s="55" t="s">
        <v>45</v>
      </c>
      <c r="E450" s="24">
        <v>3.34</v>
      </c>
      <c r="F450" s="24"/>
      <c r="G450" s="14"/>
      <c r="H450" s="24">
        <v>0.2</v>
      </c>
      <c r="I450" s="48"/>
      <c r="J450" s="49"/>
      <c r="K450" s="50">
        <f t="shared" ref="K450" si="200">E450+F450+G450+H450+I450+J450</f>
        <v>3.54</v>
      </c>
      <c r="L450" s="51">
        <f t="shared" ref="L450" si="201">K450*1490000</f>
        <v>5274600</v>
      </c>
      <c r="M450" s="53"/>
      <c r="N450" s="58"/>
      <c r="O450" s="51">
        <f t="shared" si="197"/>
        <v>5274600</v>
      </c>
      <c r="P450" s="53">
        <f t="shared" si="199"/>
        <v>522543</v>
      </c>
      <c r="Q450" s="54"/>
      <c r="R450" s="53">
        <f t="shared" si="173"/>
        <v>522543</v>
      </c>
      <c r="S450" s="76">
        <f>O450-R450</f>
        <v>4752057</v>
      </c>
      <c r="T450" s="41"/>
    </row>
    <row r="451" spans="1:20">
      <c r="A451" s="21">
        <v>36</v>
      </c>
      <c r="B451" s="39" t="s">
        <v>52</v>
      </c>
      <c r="C451" s="40" t="s">
        <v>50</v>
      </c>
      <c r="D451" s="77" t="s">
        <v>45</v>
      </c>
      <c r="E451" s="24">
        <v>2.86</v>
      </c>
      <c r="F451" s="24"/>
      <c r="G451" s="14"/>
      <c r="H451" s="24">
        <v>0.2</v>
      </c>
      <c r="I451" s="48"/>
      <c r="J451" s="49"/>
      <c r="K451" s="50">
        <f>E451+F451+G451+H451+I451+J451</f>
        <v>3.06</v>
      </c>
      <c r="L451" s="51">
        <f>K451*1490000</f>
        <v>4559400</v>
      </c>
      <c r="M451" s="53"/>
      <c r="N451" s="51"/>
      <c r="O451" s="51">
        <f t="shared" si="197"/>
        <v>4559400</v>
      </c>
      <c r="P451" s="53">
        <f>((E451+F451+G451+I451)*1490000)*10.5%</f>
        <v>447447</v>
      </c>
      <c r="Q451" s="53"/>
      <c r="R451" s="53">
        <f t="shared" si="173"/>
        <v>447447</v>
      </c>
      <c r="S451" s="76">
        <f>O451-R451</f>
        <v>4111953</v>
      </c>
      <c r="T451" s="41"/>
    </row>
    <row r="452" spans="1:20" ht="15.75">
      <c r="A452" s="21">
        <v>37</v>
      </c>
      <c r="B452" s="39" t="s">
        <v>54</v>
      </c>
      <c r="C452" s="40" t="s">
        <v>51</v>
      </c>
      <c r="D452" s="77" t="s">
        <v>96</v>
      </c>
      <c r="E452" s="24"/>
      <c r="F452" s="24"/>
      <c r="G452" s="14"/>
      <c r="H452" s="11"/>
      <c r="I452" s="48"/>
      <c r="J452" s="49"/>
      <c r="K452" s="50"/>
      <c r="L452" s="51">
        <v>3920000</v>
      </c>
      <c r="M452" s="53"/>
      <c r="N452" s="58"/>
      <c r="O452" s="51">
        <f t="shared" si="197"/>
        <v>3920000</v>
      </c>
      <c r="P452" s="53">
        <f>O452*10.5%</f>
        <v>411600</v>
      </c>
      <c r="Q452" s="53"/>
      <c r="R452" s="53">
        <f t="shared" si="173"/>
        <v>411600</v>
      </c>
      <c r="S452" s="76">
        <f>O452-R452</f>
        <v>3508400</v>
      </c>
      <c r="T452" s="2"/>
    </row>
    <row r="453" spans="1:20" ht="15.75">
      <c r="A453" s="2"/>
      <c r="B453" s="2"/>
      <c r="C453" s="3" t="s">
        <v>14</v>
      </c>
      <c r="D453" s="5"/>
      <c r="E453" s="27">
        <f t="shared" ref="E453" si="202">SUM(E416:E452)</f>
        <v>150.35999999999996</v>
      </c>
      <c r="F453" s="78">
        <f>SUM(F416:F452)</f>
        <v>2.1999999999999997</v>
      </c>
      <c r="G453" s="27">
        <f>SUM(G416:G452)</f>
        <v>0.94620000000000015</v>
      </c>
      <c r="H453" s="78">
        <f>SUM(H416:H452)</f>
        <v>0.60000000000000009</v>
      </c>
      <c r="I453" s="27">
        <f>SUM(I416:I452)</f>
        <v>26.465028</v>
      </c>
      <c r="J453" s="27">
        <f t="shared" ref="J453" si="203">SUM(J416:J452)</f>
        <v>41.767860000000006</v>
      </c>
      <c r="K453" s="27">
        <f>SUM(K416:K452)</f>
        <v>222.33908800000003</v>
      </c>
      <c r="L453" s="28">
        <f t="shared" ref="L453:O453" si="204">SUM(L416:L452)</f>
        <v>335205241.12</v>
      </c>
      <c r="M453" s="75">
        <f t="shared" si="204"/>
        <v>0</v>
      </c>
      <c r="N453" s="75">
        <f t="shared" si="204"/>
        <v>0</v>
      </c>
      <c r="O453" s="28">
        <f t="shared" si="204"/>
        <v>335205241.12</v>
      </c>
      <c r="P453" s="28">
        <f>SUM(P416:P452)</f>
        <v>28468882.500600003</v>
      </c>
      <c r="Q453" s="28">
        <f>SUM(Q416:Q452)</f>
        <v>0</v>
      </c>
      <c r="R453" s="28">
        <f t="shared" ref="R453" si="205">SUM(R416:R452)</f>
        <v>28468882.500600003</v>
      </c>
      <c r="S453" s="32">
        <f>SUM(S416:S452)</f>
        <v>306736358.61939996</v>
      </c>
      <c r="T453" s="2"/>
    </row>
    <row r="454" spans="1:20">
      <c r="E454" s="9"/>
      <c r="F454" s="9"/>
      <c r="G454" s="9"/>
      <c r="H454" s="9"/>
      <c r="I454" s="19"/>
      <c r="J454" s="17"/>
    </row>
    <row r="455" spans="1:20">
      <c r="A455" s="1" t="s">
        <v>100</v>
      </c>
      <c r="D455" s="210" t="s">
        <v>259</v>
      </c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</row>
    <row r="456" spans="1:20" ht="15.75">
      <c r="A456" s="6"/>
      <c r="E456" s="9"/>
      <c r="F456" s="9"/>
      <c r="G456" s="9"/>
      <c r="H456" s="9"/>
      <c r="I456" s="19"/>
      <c r="J456" s="17"/>
      <c r="S456" s="15"/>
    </row>
    <row r="457" spans="1:20">
      <c r="A457" s="7"/>
      <c r="B457" s="7"/>
      <c r="C457" s="7"/>
      <c r="D457" s="211"/>
      <c r="E457" s="212"/>
      <c r="F457" s="212"/>
      <c r="G457" s="37"/>
      <c r="H457" s="37"/>
      <c r="I457" s="19"/>
      <c r="J457" s="17"/>
      <c r="N457" s="43"/>
      <c r="O457" s="43"/>
      <c r="P457" s="213" t="s">
        <v>252</v>
      </c>
      <c r="Q457" s="213"/>
      <c r="R457" s="213"/>
      <c r="S457" s="213"/>
    </row>
    <row r="458" spans="1:20">
      <c r="A458" s="214" t="s">
        <v>77</v>
      </c>
      <c r="B458" s="214"/>
      <c r="C458" s="214"/>
      <c r="D458" s="214"/>
      <c r="E458" s="214"/>
      <c r="F458" s="9"/>
      <c r="G458" s="44"/>
      <c r="H458" s="44"/>
      <c r="I458" s="19"/>
      <c r="J458" s="214" t="s">
        <v>79</v>
      </c>
      <c r="K458" s="214"/>
      <c r="L458" s="214"/>
      <c r="M458" s="214"/>
      <c r="P458" s="215" t="s">
        <v>65</v>
      </c>
      <c r="Q458" s="215"/>
      <c r="R458" s="215"/>
      <c r="S458" s="215"/>
    </row>
    <row r="459" spans="1:20">
      <c r="A459" s="216" t="s">
        <v>78</v>
      </c>
      <c r="B459" s="216"/>
      <c r="C459" s="216"/>
      <c r="D459" s="216"/>
      <c r="E459" s="9"/>
      <c r="F459" s="9"/>
      <c r="G459" s="9"/>
      <c r="H459" s="9"/>
      <c r="I459" s="19"/>
      <c r="J459" s="216" t="s">
        <v>80</v>
      </c>
      <c r="K459" s="216"/>
      <c r="L459" s="216"/>
      <c r="P459" s="217" t="s">
        <v>66</v>
      </c>
      <c r="Q459" s="217"/>
      <c r="R459" s="217"/>
      <c r="S459" s="217"/>
    </row>
    <row r="460" spans="1:20">
      <c r="E460" s="9"/>
      <c r="F460" s="9"/>
      <c r="G460" s="9"/>
      <c r="H460" s="9"/>
      <c r="I460" s="19"/>
      <c r="J460" s="17"/>
    </row>
    <row r="461" spans="1:20">
      <c r="B461" s="152"/>
      <c r="C461" s="79"/>
      <c r="D461" s="152"/>
      <c r="E461" s="9"/>
      <c r="F461" s="9"/>
      <c r="G461" s="9"/>
      <c r="H461" s="9"/>
      <c r="I461" s="19"/>
      <c r="J461" s="17"/>
    </row>
    <row r="462" spans="1:20" ht="15.75">
      <c r="B462" s="152"/>
      <c r="C462" s="153"/>
      <c r="D462" s="152"/>
      <c r="E462" s="9"/>
      <c r="F462" s="9"/>
      <c r="G462" s="9"/>
      <c r="H462" s="9"/>
      <c r="I462" s="19"/>
      <c r="J462" s="17"/>
      <c r="L462" s="12"/>
      <c r="P462" s="16"/>
    </row>
    <row r="463" spans="1:20" ht="15.75">
      <c r="B463" s="152"/>
      <c r="C463" s="153"/>
      <c r="D463" s="152"/>
      <c r="E463" s="9"/>
      <c r="F463" s="9"/>
      <c r="G463" s="9"/>
      <c r="H463" s="9"/>
      <c r="I463" s="19"/>
      <c r="J463" s="17"/>
    </row>
    <row r="464" spans="1:20" ht="15.75">
      <c r="B464" s="208" t="s">
        <v>267</v>
      </c>
      <c r="C464" s="208"/>
      <c r="D464" s="208"/>
      <c r="E464" s="9"/>
      <c r="F464" s="9"/>
      <c r="G464" s="9"/>
      <c r="H464" s="9"/>
      <c r="I464" s="19"/>
      <c r="J464" s="209" t="s">
        <v>59</v>
      </c>
      <c r="K464" s="209"/>
      <c r="L464" s="209"/>
      <c r="M464" s="209"/>
      <c r="P464" s="209" t="s">
        <v>81</v>
      </c>
      <c r="Q464" s="209"/>
      <c r="R464" s="209"/>
      <c r="S464" s="209"/>
    </row>
    <row r="477" spans="1:19" ht="15.75">
      <c r="A477" s="227" t="s">
        <v>55</v>
      </c>
      <c r="B477" s="227"/>
      <c r="C477" s="227"/>
      <c r="D477" s="227"/>
      <c r="E477" s="227"/>
      <c r="F477" s="227"/>
      <c r="G477" s="227"/>
      <c r="H477" s="227"/>
      <c r="I477" s="19"/>
      <c r="J477" s="17"/>
      <c r="Q477" s="228" t="s">
        <v>235</v>
      </c>
      <c r="R477" s="228"/>
      <c r="S477" s="228"/>
    </row>
    <row r="478" spans="1:19">
      <c r="A478" s="229" t="s">
        <v>67</v>
      </c>
      <c r="B478" s="229"/>
      <c r="C478" s="229"/>
      <c r="D478" s="229"/>
      <c r="E478" s="229"/>
      <c r="F478" s="229"/>
      <c r="G478" s="229"/>
      <c r="H478" s="9"/>
      <c r="I478" s="19"/>
      <c r="J478" s="17"/>
      <c r="R478" s="230" t="s">
        <v>68</v>
      </c>
      <c r="S478" s="230"/>
    </row>
    <row r="479" spans="1:19" ht="15.75">
      <c r="A479" s="227" t="s">
        <v>56</v>
      </c>
      <c r="B479" s="227"/>
      <c r="C479" s="227"/>
      <c r="D479" s="227"/>
      <c r="E479" s="227"/>
      <c r="F479" s="227"/>
      <c r="G479" s="227"/>
      <c r="H479" s="9"/>
      <c r="I479" s="19"/>
      <c r="J479" s="17"/>
      <c r="R479" s="29" t="s">
        <v>63</v>
      </c>
    </row>
    <row r="480" spans="1:19" ht="20.25">
      <c r="A480" s="231" t="s">
        <v>76</v>
      </c>
      <c r="B480" s="231"/>
      <c r="C480" s="231"/>
      <c r="D480" s="231"/>
      <c r="E480" s="231"/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</row>
    <row r="481" spans="1:20" ht="18.75">
      <c r="A481" s="232" t="s">
        <v>271</v>
      </c>
      <c r="B481" s="232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</row>
    <row r="482" spans="1:20">
      <c r="A482" s="225" t="s">
        <v>0</v>
      </c>
      <c r="B482" s="226" t="s">
        <v>1</v>
      </c>
      <c r="C482" s="226" t="s">
        <v>2</v>
      </c>
      <c r="D482" s="226" t="s">
        <v>3</v>
      </c>
      <c r="E482" s="226" t="s">
        <v>20</v>
      </c>
      <c r="F482" s="226"/>
      <c r="G482" s="226"/>
      <c r="H482" s="226"/>
      <c r="I482" s="226"/>
      <c r="J482" s="226"/>
      <c r="K482" s="226"/>
      <c r="L482" s="226"/>
      <c r="M482" s="233" t="s">
        <v>9</v>
      </c>
      <c r="N482" s="233" t="s">
        <v>11</v>
      </c>
      <c r="O482" s="226" t="s">
        <v>12</v>
      </c>
      <c r="P482" s="234" t="s">
        <v>13</v>
      </c>
      <c r="Q482" s="235"/>
      <c r="R482" s="236"/>
      <c r="S482" s="226" t="s">
        <v>15</v>
      </c>
      <c r="T482" s="218" t="s">
        <v>57</v>
      </c>
    </row>
    <row r="483" spans="1:20">
      <c r="A483" s="225"/>
      <c r="B483" s="226"/>
      <c r="C483" s="226"/>
      <c r="D483" s="226"/>
      <c r="E483" s="221" t="s">
        <v>4</v>
      </c>
      <c r="F483" s="222" t="s">
        <v>5</v>
      </c>
      <c r="G483" s="223" t="s">
        <v>6</v>
      </c>
      <c r="H483" s="223"/>
      <c r="I483" s="223"/>
      <c r="J483" s="223"/>
      <c r="K483" s="224" t="s">
        <v>7</v>
      </c>
      <c r="L483" s="224" t="s">
        <v>8</v>
      </c>
      <c r="M483" s="233"/>
      <c r="N483" s="233"/>
      <c r="O483" s="226"/>
      <c r="P483" s="225" t="s">
        <v>10</v>
      </c>
      <c r="Q483" s="226" t="s">
        <v>85</v>
      </c>
      <c r="R483" s="225" t="s">
        <v>14</v>
      </c>
      <c r="S483" s="226"/>
      <c r="T483" s="219"/>
    </row>
    <row r="484" spans="1:20" ht="63">
      <c r="A484" s="225"/>
      <c r="B484" s="226"/>
      <c r="C484" s="226"/>
      <c r="D484" s="226"/>
      <c r="E484" s="221"/>
      <c r="F484" s="222"/>
      <c r="G484" s="157" t="s">
        <v>26</v>
      </c>
      <c r="H484" s="157" t="s">
        <v>86</v>
      </c>
      <c r="I484" s="20" t="s">
        <v>24</v>
      </c>
      <c r="J484" s="18" t="s">
        <v>25</v>
      </c>
      <c r="K484" s="224"/>
      <c r="L484" s="224"/>
      <c r="M484" s="233"/>
      <c r="N484" s="233"/>
      <c r="O484" s="226"/>
      <c r="P484" s="225"/>
      <c r="Q484" s="226"/>
      <c r="R484" s="225"/>
      <c r="S484" s="226"/>
      <c r="T484" s="220"/>
    </row>
    <row r="485" spans="1:20">
      <c r="A485" s="4" t="s">
        <v>16</v>
      </c>
      <c r="B485" s="4" t="s">
        <v>17</v>
      </c>
      <c r="C485" s="4" t="s">
        <v>18</v>
      </c>
      <c r="D485" s="4" t="s">
        <v>19</v>
      </c>
      <c r="E485" s="13">
        <v>1</v>
      </c>
      <c r="F485" s="13">
        <v>2</v>
      </c>
      <c r="G485" s="13">
        <v>3</v>
      </c>
      <c r="H485" s="13">
        <v>4</v>
      </c>
      <c r="I485" s="13">
        <v>5</v>
      </c>
      <c r="J485" s="23">
        <v>6</v>
      </c>
      <c r="K485" s="4">
        <v>7</v>
      </c>
      <c r="L485" s="4">
        <v>8</v>
      </c>
      <c r="M485" s="4">
        <v>9</v>
      </c>
      <c r="N485" s="4">
        <v>10</v>
      </c>
      <c r="O485" s="30" t="s">
        <v>87</v>
      </c>
      <c r="P485" s="30">
        <v>12</v>
      </c>
      <c r="Q485" s="30">
        <v>13</v>
      </c>
      <c r="R485" s="30">
        <v>14</v>
      </c>
      <c r="S485" s="30" t="s">
        <v>88</v>
      </c>
      <c r="T485" s="2"/>
    </row>
    <row r="486" spans="1:20" ht="16.5">
      <c r="A486" s="21">
        <v>1</v>
      </c>
      <c r="B486" s="39" t="s">
        <v>89</v>
      </c>
      <c r="C486" s="42" t="s">
        <v>60</v>
      </c>
      <c r="D486" s="46" t="s">
        <v>61</v>
      </c>
      <c r="E486" s="47">
        <v>5.0199999999999996</v>
      </c>
      <c r="F486" s="47">
        <v>0.35</v>
      </c>
      <c r="G486" s="25"/>
      <c r="H486" s="22"/>
      <c r="I486" s="48">
        <f>(E486+F486+G486)*24/100</f>
        <v>1.2887999999999999</v>
      </c>
      <c r="J486" s="49">
        <f>30/100*(E486+F486+G486)</f>
        <v>1.6109999999999998</v>
      </c>
      <c r="K486" s="50">
        <f>E486+F486+G486+H486+I486+J486</f>
        <v>8.2698</v>
      </c>
      <c r="L486" s="51">
        <f>K486*1490000</f>
        <v>12322002</v>
      </c>
      <c r="M486" s="52"/>
      <c r="N486" s="52"/>
      <c r="O486" s="51">
        <f>L486-M486+N486</f>
        <v>12322002</v>
      </c>
      <c r="P486" s="53">
        <f>((E486+F486+G486+I486)*1490000-M486)*9.5%</f>
        <v>942553.14</v>
      </c>
      <c r="Q486" s="54"/>
      <c r="R486" s="53">
        <f>P486+Q486</f>
        <v>942553.14</v>
      </c>
      <c r="S486" s="53">
        <f>O486-R486</f>
        <v>11379448.859999999</v>
      </c>
      <c r="T486" s="41"/>
    </row>
    <row r="487" spans="1:20" ht="15.75">
      <c r="A487" s="21">
        <v>2</v>
      </c>
      <c r="B487" s="39" t="s">
        <v>21</v>
      </c>
      <c r="C487" s="40" t="s">
        <v>28</v>
      </c>
      <c r="D487" s="55" t="s">
        <v>27</v>
      </c>
      <c r="E487" s="24">
        <v>4.9800000000000004</v>
      </c>
      <c r="F487" s="56"/>
      <c r="G487" s="57">
        <f>E487*7%</f>
        <v>0.34860000000000008</v>
      </c>
      <c r="H487" s="10"/>
      <c r="I487" s="48">
        <f>(E487+F487+G487)*26/100</f>
        <v>1.3854360000000003</v>
      </c>
      <c r="J487" s="49">
        <f>30/100*(E487+F487+G487)</f>
        <v>1.5985800000000001</v>
      </c>
      <c r="K487" s="50">
        <f>E487+F487+G487+H487+I487+J487</f>
        <v>8.312616000000002</v>
      </c>
      <c r="L487" s="51">
        <f>K487*1490000</f>
        <v>12385797.840000004</v>
      </c>
      <c r="M487" s="58"/>
      <c r="N487" s="58"/>
      <c r="O487" s="51">
        <f>L487-M487+N487</f>
        <v>12385797.840000004</v>
      </c>
      <c r="P487" s="53">
        <f>((E487+F487+G487+I487)*1490000-M487)*10.5%</f>
        <v>1050410.9321999999</v>
      </c>
      <c r="Q487" s="54"/>
      <c r="R487" s="53">
        <f t="shared" ref="R487:R522" si="206">P487+Q487</f>
        <v>1050410.9321999999</v>
      </c>
      <c r="S487" s="53">
        <f t="shared" ref="S487" si="207">O487-R487</f>
        <v>11335386.907800004</v>
      </c>
      <c r="T487" s="59">
        <v>7.0000000000000007E-2</v>
      </c>
    </row>
    <row r="488" spans="1:20" ht="16.5">
      <c r="A488" s="21">
        <v>3</v>
      </c>
      <c r="B488" s="39" t="s">
        <v>22</v>
      </c>
      <c r="C488" s="40" t="s">
        <v>30</v>
      </c>
      <c r="D488" s="55" t="s">
        <v>90</v>
      </c>
      <c r="E488" s="24">
        <v>4.8899999999999997</v>
      </c>
      <c r="F488" s="47">
        <v>0.15</v>
      </c>
      <c r="G488" s="57"/>
      <c r="H488" s="10"/>
      <c r="I488" s="48">
        <f>(E488+F488+G488)*31/100</f>
        <v>1.5624</v>
      </c>
      <c r="J488" s="49">
        <f>30/100*(E488+F488+G488)</f>
        <v>1.512</v>
      </c>
      <c r="K488" s="50">
        <f t="shared" ref="K488:K512" si="208">E488+F488+G488+H488+I488+J488</f>
        <v>8.1143999999999998</v>
      </c>
      <c r="L488" s="51">
        <f t="shared" ref="L488:L512" si="209">K488*1490000</f>
        <v>12090456</v>
      </c>
      <c r="M488" s="58"/>
      <c r="N488" s="58"/>
      <c r="O488" s="51">
        <f t="shared" ref="O488:O505" si="210">L488-M488+N488</f>
        <v>12090456</v>
      </c>
      <c r="P488" s="53">
        <f t="shared" ref="P488:P492" si="211">((E488+F488+G488+I488)*1490000-M488)*10.5%</f>
        <v>1032945.48</v>
      </c>
      <c r="Q488" s="54"/>
      <c r="R488" s="53">
        <f t="shared" si="206"/>
        <v>1032945.48</v>
      </c>
      <c r="S488" s="53">
        <f>O488-R488</f>
        <v>11057510.52</v>
      </c>
      <c r="T488" s="2"/>
    </row>
    <row r="489" spans="1:20" ht="15.75">
      <c r="A489" s="21">
        <v>4</v>
      </c>
      <c r="B489" s="39" t="s">
        <v>21</v>
      </c>
      <c r="C489" s="40" t="s">
        <v>32</v>
      </c>
      <c r="D489" s="55" t="s">
        <v>29</v>
      </c>
      <c r="E489" s="24">
        <v>4.9800000000000004</v>
      </c>
      <c r="F489" s="47">
        <v>0.2</v>
      </c>
      <c r="G489" s="57">
        <f>E489*5%</f>
        <v>0.24900000000000003</v>
      </c>
      <c r="H489" s="10"/>
      <c r="I489" s="48">
        <f>(E489+F489+G489)*23%</f>
        <v>1.2486700000000002</v>
      </c>
      <c r="J489" s="49">
        <f t="shared" ref="J489" si="212">30/100*(E489+F489+G489)</f>
        <v>1.6287</v>
      </c>
      <c r="K489" s="50">
        <f t="shared" si="208"/>
        <v>8.3063700000000011</v>
      </c>
      <c r="L489" s="51">
        <f t="shared" si="209"/>
        <v>12376491.300000003</v>
      </c>
      <c r="M489" s="58"/>
      <c r="N489" s="58"/>
      <c r="O489" s="51">
        <f t="shared" si="210"/>
        <v>12376491.300000003</v>
      </c>
      <c r="P489" s="53">
        <f t="shared" si="211"/>
        <v>1044721.4715</v>
      </c>
      <c r="Q489" s="54"/>
      <c r="R489" s="53">
        <f t="shared" si="206"/>
        <v>1044721.4715</v>
      </c>
      <c r="S489" s="53">
        <f t="shared" ref="S489" si="213">O489-R489</f>
        <v>11331769.828500003</v>
      </c>
      <c r="T489" s="59">
        <v>0.05</v>
      </c>
    </row>
    <row r="490" spans="1:20" ht="15.75">
      <c r="A490" s="21">
        <v>5</v>
      </c>
      <c r="B490" s="39" t="s">
        <v>21</v>
      </c>
      <c r="C490" s="40" t="s">
        <v>82</v>
      </c>
      <c r="D490" s="55" t="s">
        <v>29</v>
      </c>
      <c r="E490" s="24">
        <v>4.9800000000000004</v>
      </c>
      <c r="F490" s="47">
        <v>0.2</v>
      </c>
      <c r="G490" s="57">
        <f>E490*7%</f>
        <v>0.34860000000000008</v>
      </c>
      <c r="H490" s="10"/>
      <c r="I490" s="48">
        <f>(E490+F490+G490)*27%</f>
        <v>1.4927220000000003</v>
      </c>
      <c r="J490" s="49">
        <f>30/100*(E490+F490+G490)</f>
        <v>1.6585800000000002</v>
      </c>
      <c r="K490" s="50">
        <f t="shared" si="208"/>
        <v>8.679902000000002</v>
      </c>
      <c r="L490" s="51">
        <f t="shared" si="209"/>
        <v>12933053.980000002</v>
      </c>
      <c r="M490" s="58"/>
      <c r="N490" s="58"/>
      <c r="O490" s="51">
        <f t="shared" si="210"/>
        <v>12933053.980000002</v>
      </c>
      <c r="P490" s="53">
        <f t="shared" si="211"/>
        <v>1098485.8269</v>
      </c>
      <c r="Q490" s="54"/>
      <c r="R490" s="53">
        <f t="shared" si="206"/>
        <v>1098485.8269</v>
      </c>
      <c r="S490" s="53">
        <f>O490-R490</f>
        <v>11834568.153100003</v>
      </c>
      <c r="T490" s="59">
        <v>7.0000000000000007E-2</v>
      </c>
    </row>
    <row r="491" spans="1:20" ht="15.75">
      <c r="A491" s="21">
        <v>6</v>
      </c>
      <c r="B491" s="39" t="s">
        <v>21</v>
      </c>
      <c r="C491" s="40" t="s">
        <v>84</v>
      </c>
      <c r="D491" s="55" t="s">
        <v>62</v>
      </c>
      <c r="E491" s="24">
        <v>4.9800000000000004</v>
      </c>
      <c r="F491" s="47">
        <v>0.25</v>
      </c>
      <c r="G491" s="14"/>
      <c r="H491" s="10"/>
      <c r="I491" s="48">
        <f>(E491+F491+G491)*22%</f>
        <v>1.1506000000000001</v>
      </c>
      <c r="J491" s="49">
        <f t="shared" ref="J491" si="214">30/100*(E491+F491+G491)</f>
        <v>1.5690000000000002</v>
      </c>
      <c r="K491" s="50">
        <f t="shared" si="208"/>
        <v>7.9496000000000002</v>
      </c>
      <c r="L491" s="51">
        <f t="shared" si="209"/>
        <v>11844904</v>
      </c>
      <c r="M491" s="58"/>
      <c r="N491" s="58"/>
      <c r="O491" s="51">
        <f t="shared" si="210"/>
        <v>11844904</v>
      </c>
      <c r="P491" s="53">
        <f t="shared" si="211"/>
        <v>998244.87</v>
      </c>
      <c r="Q491" s="54"/>
      <c r="R491" s="53">
        <f t="shared" si="206"/>
        <v>998244.87</v>
      </c>
      <c r="S491" s="53">
        <f t="shared" ref="S491" si="215">O491-R491</f>
        <v>10846659.130000001</v>
      </c>
      <c r="T491" s="41" t="s">
        <v>274</v>
      </c>
    </row>
    <row r="492" spans="1:20" ht="16.5">
      <c r="A492" s="21">
        <v>7</v>
      </c>
      <c r="B492" s="39" t="s">
        <v>22</v>
      </c>
      <c r="C492" s="42" t="s">
        <v>31</v>
      </c>
      <c r="D492" s="55" t="s">
        <v>27</v>
      </c>
      <c r="E492" s="24">
        <v>4.8899999999999997</v>
      </c>
      <c r="F492" s="47"/>
      <c r="G492" s="57"/>
      <c r="H492" s="10"/>
      <c r="I492" s="48">
        <f>(E492+F492+G492)*27/100</f>
        <v>1.3203</v>
      </c>
      <c r="J492" s="49">
        <f>30/100*(E492+F492+G492)</f>
        <v>1.4669999999999999</v>
      </c>
      <c r="K492" s="50">
        <f t="shared" si="208"/>
        <v>7.6772999999999998</v>
      </c>
      <c r="L492" s="51">
        <f t="shared" si="209"/>
        <v>11439177</v>
      </c>
      <c r="M492" s="58"/>
      <c r="N492" s="58"/>
      <c r="O492" s="51">
        <f t="shared" si="210"/>
        <v>11439177</v>
      </c>
      <c r="P492" s="53">
        <f t="shared" si="211"/>
        <v>971601.43499999994</v>
      </c>
      <c r="Q492" s="54"/>
      <c r="R492" s="53">
        <f t="shared" si="206"/>
        <v>971601.43499999994</v>
      </c>
      <c r="S492" s="53">
        <f>O492-R492</f>
        <v>10467575.564999999</v>
      </c>
      <c r="T492" s="41"/>
    </row>
    <row r="493" spans="1:20" ht="15.75">
      <c r="A493" s="21">
        <v>8</v>
      </c>
      <c r="B493" s="39" t="s">
        <v>21</v>
      </c>
      <c r="C493" s="26" t="s">
        <v>70</v>
      </c>
      <c r="D493" s="55" t="s">
        <v>27</v>
      </c>
      <c r="E493" s="24">
        <v>4.9800000000000004</v>
      </c>
      <c r="F493" s="47"/>
      <c r="G493" s="14"/>
      <c r="H493" s="10"/>
      <c r="I493" s="48">
        <f>(E493+F493+G493)*23/100</f>
        <v>1.1454</v>
      </c>
      <c r="J493" s="49">
        <f t="shared" ref="J493:J495" si="216">30/100*(E493+F493+G493)</f>
        <v>1.494</v>
      </c>
      <c r="K493" s="50">
        <f t="shared" si="208"/>
        <v>7.6194000000000006</v>
      </c>
      <c r="L493" s="51">
        <f t="shared" si="209"/>
        <v>11352906</v>
      </c>
      <c r="M493" s="58"/>
      <c r="N493" s="58"/>
      <c r="O493" s="51">
        <f t="shared" si="210"/>
        <v>11352906</v>
      </c>
      <c r="P493" s="53">
        <f>((E493+F493+G493+I493)*1490000-M493)*10.5%</f>
        <v>958318.83000000019</v>
      </c>
      <c r="Q493" s="54"/>
      <c r="R493" s="53">
        <f t="shared" si="206"/>
        <v>958318.83000000019</v>
      </c>
      <c r="S493" s="53">
        <f>O493-R493</f>
        <v>10394587.17</v>
      </c>
      <c r="T493" s="41" t="s">
        <v>274</v>
      </c>
    </row>
    <row r="494" spans="1:20" ht="15.75">
      <c r="A494" s="21">
        <v>9</v>
      </c>
      <c r="B494" s="39" t="s">
        <v>21</v>
      </c>
      <c r="C494" s="26" t="s">
        <v>33</v>
      </c>
      <c r="D494" s="55" t="s">
        <v>29</v>
      </c>
      <c r="E494" s="24">
        <v>4.6500000000000004</v>
      </c>
      <c r="F494" s="47">
        <v>0.2</v>
      </c>
      <c r="G494" s="14"/>
      <c r="H494" s="10"/>
      <c r="I494" s="48">
        <f>(E494+F494+G494)*22/100</f>
        <v>1.0670000000000002</v>
      </c>
      <c r="J494" s="49">
        <f t="shared" si="216"/>
        <v>1.4550000000000001</v>
      </c>
      <c r="K494" s="50">
        <f t="shared" si="208"/>
        <v>7.3720000000000008</v>
      </c>
      <c r="L494" s="51">
        <f t="shared" si="209"/>
        <v>10984280.000000002</v>
      </c>
      <c r="M494" s="58"/>
      <c r="N494" s="58"/>
      <c r="O494" s="51">
        <f t="shared" si="210"/>
        <v>10984280.000000002</v>
      </c>
      <c r="P494" s="53">
        <f t="shared" ref="P494:P495" si="217">((E494+F494+G494+I494)*1490000-M494)*10.5%</f>
        <v>925714.65000000014</v>
      </c>
      <c r="Q494" s="54"/>
      <c r="R494" s="53">
        <f t="shared" si="206"/>
        <v>925714.65000000014</v>
      </c>
      <c r="S494" s="53">
        <f t="shared" ref="S494:S496" si="218">O494-R494</f>
        <v>10058565.350000001</v>
      </c>
      <c r="T494" s="41" t="s">
        <v>274</v>
      </c>
    </row>
    <row r="495" spans="1:20" ht="15.75">
      <c r="A495" s="21">
        <v>10</v>
      </c>
      <c r="B495" s="39" t="s">
        <v>21</v>
      </c>
      <c r="C495" s="26" t="s">
        <v>34</v>
      </c>
      <c r="D495" s="55" t="s">
        <v>27</v>
      </c>
      <c r="E495" s="24">
        <v>4.32</v>
      </c>
      <c r="F495" s="47"/>
      <c r="G495" s="14"/>
      <c r="H495" s="10"/>
      <c r="I495" s="48">
        <f>(E495+F495+G495)*19/100</f>
        <v>0.82080000000000009</v>
      </c>
      <c r="J495" s="49">
        <f t="shared" si="216"/>
        <v>1.296</v>
      </c>
      <c r="K495" s="50">
        <f t="shared" si="208"/>
        <v>6.4368000000000007</v>
      </c>
      <c r="L495" s="51">
        <f t="shared" si="209"/>
        <v>9590832.0000000019</v>
      </c>
      <c r="M495" s="58"/>
      <c r="N495" s="58"/>
      <c r="O495" s="51">
        <f t="shared" si="210"/>
        <v>9590832.0000000019</v>
      </c>
      <c r="P495" s="53">
        <f t="shared" si="217"/>
        <v>804278.16</v>
      </c>
      <c r="Q495" s="54"/>
      <c r="R495" s="53">
        <f t="shared" si="206"/>
        <v>804278.16</v>
      </c>
      <c r="S495" s="53">
        <f t="shared" si="218"/>
        <v>8786553.8400000017</v>
      </c>
      <c r="T495" s="41" t="s">
        <v>274</v>
      </c>
    </row>
    <row r="496" spans="1:20">
      <c r="A496" s="21">
        <v>11</v>
      </c>
      <c r="B496" s="39" t="s">
        <v>21</v>
      </c>
      <c r="C496" s="42" t="s">
        <v>36</v>
      </c>
      <c r="D496" s="55" t="s">
        <v>29</v>
      </c>
      <c r="E496" s="24">
        <v>4.32</v>
      </c>
      <c r="F496" s="47">
        <v>0.2</v>
      </c>
      <c r="G496" s="33"/>
      <c r="H496" s="35"/>
      <c r="I496" s="48">
        <f>(E496+F496+G496)*20%</f>
        <v>0.90400000000000014</v>
      </c>
      <c r="J496" s="49">
        <f>30/100*(E496+F496+G496)</f>
        <v>1.3560000000000001</v>
      </c>
      <c r="K496" s="50">
        <f t="shared" si="208"/>
        <v>6.78</v>
      </c>
      <c r="L496" s="51">
        <f t="shared" si="209"/>
        <v>10102200</v>
      </c>
      <c r="M496" s="58"/>
      <c r="N496" s="58"/>
      <c r="O496" s="51">
        <f t="shared" si="210"/>
        <v>10102200</v>
      </c>
      <c r="P496" s="53">
        <f>((E496+F496+G496+I496)*1490000-M496)*10.5%</f>
        <v>848584.8</v>
      </c>
      <c r="Q496" s="54"/>
      <c r="R496" s="53">
        <f t="shared" si="206"/>
        <v>848584.8</v>
      </c>
      <c r="S496" s="53">
        <f t="shared" si="218"/>
        <v>9253615.1999999993</v>
      </c>
      <c r="T496" s="151"/>
    </row>
    <row r="497" spans="1:20">
      <c r="A497" s="21">
        <v>12</v>
      </c>
      <c r="B497" s="39" t="s">
        <v>64</v>
      </c>
      <c r="C497" s="26" t="s">
        <v>59</v>
      </c>
      <c r="D497" s="55" t="s">
        <v>35</v>
      </c>
      <c r="E497" s="24">
        <v>4.2699999999999996</v>
      </c>
      <c r="F497" s="47">
        <v>0.2</v>
      </c>
      <c r="G497" s="33"/>
      <c r="H497" s="34">
        <v>0.1</v>
      </c>
      <c r="I497" s="48"/>
      <c r="J497" s="49"/>
      <c r="K497" s="50">
        <f t="shared" si="208"/>
        <v>4.5699999999999994</v>
      </c>
      <c r="L497" s="51">
        <f t="shared" si="209"/>
        <v>6809299.9999999991</v>
      </c>
      <c r="M497" s="58"/>
      <c r="N497" s="58"/>
      <c r="O497" s="51">
        <f t="shared" si="210"/>
        <v>6809299.9999999991</v>
      </c>
      <c r="P497" s="53">
        <f>((E497+F497+G497+I497)*1490000-M497)*10.5%</f>
        <v>699331.5</v>
      </c>
      <c r="Q497" s="54"/>
      <c r="R497" s="53">
        <f t="shared" si="206"/>
        <v>699331.5</v>
      </c>
      <c r="S497" s="53">
        <f>O497-R497</f>
        <v>6109968.4999999991</v>
      </c>
      <c r="T497" s="151"/>
    </row>
    <row r="498" spans="1:20">
      <c r="A498" s="21">
        <v>13</v>
      </c>
      <c r="B498" s="39" t="s">
        <v>21</v>
      </c>
      <c r="C498" s="40" t="s">
        <v>69</v>
      </c>
      <c r="D498" s="55" t="s">
        <v>27</v>
      </c>
      <c r="E498" s="24">
        <v>4.6500000000000004</v>
      </c>
      <c r="F498" s="47"/>
      <c r="G498" s="33"/>
      <c r="H498" s="35"/>
      <c r="I498" s="48">
        <f>(E498+F498+G498)*20/100</f>
        <v>0.93</v>
      </c>
      <c r="J498" s="49">
        <f>30/100*(E498+F498+G498)</f>
        <v>1.395</v>
      </c>
      <c r="K498" s="50">
        <f t="shared" si="208"/>
        <v>6.9749999999999996</v>
      </c>
      <c r="L498" s="51">
        <f t="shared" si="209"/>
        <v>10392750</v>
      </c>
      <c r="M498" s="58"/>
      <c r="N498" s="58"/>
      <c r="O498" s="51">
        <f t="shared" si="210"/>
        <v>10392750</v>
      </c>
      <c r="P498" s="53">
        <f t="shared" ref="P498:P516" si="219">((E498+F498+G498+I498)*1490000-M498)*10.5%</f>
        <v>872991</v>
      </c>
      <c r="Q498" s="54"/>
      <c r="R498" s="53">
        <f t="shared" si="206"/>
        <v>872991</v>
      </c>
      <c r="S498" s="53">
        <f t="shared" ref="S498:S505" si="220">O498-R498</f>
        <v>9519759</v>
      </c>
      <c r="T498" s="150"/>
    </row>
    <row r="499" spans="1:20">
      <c r="A499" s="21">
        <v>14</v>
      </c>
      <c r="B499" s="39" t="s">
        <v>21</v>
      </c>
      <c r="C499" s="40" t="s">
        <v>37</v>
      </c>
      <c r="D499" s="55" t="s">
        <v>27</v>
      </c>
      <c r="E499" s="24">
        <v>4.32</v>
      </c>
      <c r="F499" s="24"/>
      <c r="G499" s="33"/>
      <c r="H499" s="35"/>
      <c r="I499" s="48">
        <f>(E499+F499+G499)*20/100</f>
        <v>0.8640000000000001</v>
      </c>
      <c r="J499" s="49">
        <f>30/100*(E499+F499+G499)</f>
        <v>1.296</v>
      </c>
      <c r="K499" s="50">
        <f t="shared" si="208"/>
        <v>6.48</v>
      </c>
      <c r="L499" s="51">
        <f t="shared" si="209"/>
        <v>9655200</v>
      </c>
      <c r="M499" s="58"/>
      <c r="N499" s="58"/>
      <c r="O499" s="51">
        <f t="shared" si="210"/>
        <v>9655200</v>
      </c>
      <c r="P499" s="53">
        <f t="shared" si="219"/>
        <v>811036.79999999993</v>
      </c>
      <c r="Q499" s="54"/>
      <c r="R499" s="53">
        <f t="shared" si="206"/>
        <v>811036.79999999993</v>
      </c>
      <c r="S499" s="53">
        <f t="shared" si="220"/>
        <v>8844163.1999999993</v>
      </c>
      <c r="T499" s="2"/>
    </row>
    <row r="500" spans="1:20">
      <c r="A500" s="21">
        <v>15</v>
      </c>
      <c r="B500" s="39" t="s">
        <v>21</v>
      </c>
      <c r="C500" s="40" t="s">
        <v>71</v>
      </c>
      <c r="D500" s="55" t="s">
        <v>27</v>
      </c>
      <c r="E500" s="24">
        <v>4.32</v>
      </c>
      <c r="F500" s="24"/>
      <c r="G500" s="33"/>
      <c r="H500" s="35"/>
      <c r="I500" s="48">
        <f>(E500+F500+G500)*19/100</f>
        <v>0.82080000000000009</v>
      </c>
      <c r="J500" s="49">
        <f t="shared" ref="J500:J502" si="221">30/100*(E500+F500+G500)</f>
        <v>1.296</v>
      </c>
      <c r="K500" s="50">
        <f t="shared" si="208"/>
        <v>6.4368000000000007</v>
      </c>
      <c r="L500" s="51">
        <f t="shared" si="209"/>
        <v>9590832.0000000019</v>
      </c>
      <c r="M500" s="58"/>
      <c r="N500" s="58"/>
      <c r="O500" s="51">
        <f t="shared" si="210"/>
        <v>9590832.0000000019</v>
      </c>
      <c r="P500" s="53">
        <f t="shared" si="219"/>
        <v>804278.16</v>
      </c>
      <c r="Q500" s="54"/>
      <c r="R500" s="53">
        <f t="shared" si="206"/>
        <v>804278.16</v>
      </c>
      <c r="S500" s="53">
        <f t="shared" si="220"/>
        <v>8786553.8400000017</v>
      </c>
      <c r="T500" s="41"/>
    </row>
    <row r="501" spans="1:20">
      <c r="A501" s="21">
        <v>16</v>
      </c>
      <c r="B501" s="39" t="s">
        <v>21</v>
      </c>
      <c r="C501" s="40" t="s">
        <v>38</v>
      </c>
      <c r="D501" s="55" t="s">
        <v>27</v>
      </c>
      <c r="E501" s="24">
        <v>4.32</v>
      </c>
      <c r="F501" s="24"/>
      <c r="G501" s="33"/>
      <c r="H501" s="35"/>
      <c r="I501" s="48">
        <f>(E501+F501+G501)*18%</f>
        <v>0.77760000000000007</v>
      </c>
      <c r="J501" s="49">
        <f t="shared" si="221"/>
        <v>1.296</v>
      </c>
      <c r="K501" s="50">
        <f t="shared" si="208"/>
        <v>6.3936000000000002</v>
      </c>
      <c r="L501" s="51">
        <f t="shared" si="209"/>
        <v>9526464</v>
      </c>
      <c r="M501" s="58"/>
      <c r="N501" s="58"/>
      <c r="O501" s="51">
        <f t="shared" si="210"/>
        <v>9526464</v>
      </c>
      <c r="P501" s="53">
        <f t="shared" si="219"/>
        <v>797519.52</v>
      </c>
      <c r="Q501" s="54"/>
      <c r="R501" s="53">
        <f t="shared" si="206"/>
        <v>797519.52</v>
      </c>
      <c r="S501" s="53">
        <f t="shared" si="220"/>
        <v>8728944.4800000004</v>
      </c>
      <c r="T501" s="41"/>
    </row>
    <row r="502" spans="1:20">
      <c r="A502" s="21">
        <v>17</v>
      </c>
      <c r="B502" s="39" t="s">
        <v>21</v>
      </c>
      <c r="C502" s="40" t="s">
        <v>72</v>
      </c>
      <c r="D502" s="55" t="s">
        <v>27</v>
      </c>
      <c r="E502" s="24">
        <v>4.32</v>
      </c>
      <c r="F502" s="24"/>
      <c r="G502" s="33"/>
      <c r="H502" s="35"/>
      <c r="I502" s="48">
        <f>(E502+F502+G502)*18%</f>
        <v>0.77760000000000007</v>
      </c>
      <c r="J502" s="49">
        <f t="shared" si="221"/>
        <v>1.296</v>
      </c>
      <c r="K502" s="50">
        <f t="shared" si="208"/>
        <v>6.3936000000000002</v>
      </c>
      <c r="L502" s="51">
        <f t="shared" si="209"/>
        <v>9526464</v>
      </c>
      <c r="M502" s="58"/>
      <c r="N502" s="58"/>
      <c r="O502" s="51">
        <f t="shared" si="210"/>
        <v>9526464</v>
      </c>
      <c r="P502" s="53">
        <f t="shared" si="219"/>
        <v>797519.52</v>
      </c>
      <c r="Q502" s="54"/>
      <c r="R502" s="53">
        <f t="shared" si="206"/>
        <v>797519.52</v>
      </c>
      <c r="S502" s="53">
        <f t="shared" si="220"/>
        <v>8728944.4800000004</v>
      </c>
      <c r="T502" s="41"/>
    </row>
    <row r="503" spans="1:20">
      <c r="A503" s="21">
        <v>18</v>
      </c>
      <c r="B503" s="39" t="s">
        <v>21</v>
      </c>
      <c r="C503" s="40" t="s">
        <v>91</v>
      </c>
      <c r="D503" s="55" t="s">
        <v>27</v>
      </c>
      <c r="E503" s="24">
        <v>4.32</v>
      </c>
      <c r="F503" s="24">
        <v>0.15</v>
      </c>
      <c r="G503" s="60"/>
      <c r="H503" s="35"/>
      <c r="I503" s="48">
        <f>(E503+F503+G503)*19%</f>
        <v>0.84930000000000017</v>
      </c>
      <c r="J503" s="49">
        <f>30/100*(E503+F503+G503)</f>
        <v>1.3410000000000002</v>
      </c>
      <c r="K503" s="61">
        <f t="shared" si="208"/>
        <v>6.6603000000000012</v>
      </c>
      <c r="L503" s="62">
        <f t="shared" si="209"/>
        <v>9923847.0000000019</v>
      </c>
      <c r="M503" s="63"/>
      <c r="N503" s="63"/>
      <c r="O503" s="62">
        <f t="shared" si="210"/>
        <v>9923847.0000000019</v>
      </c>
      <c r="P503" s="64">
        <f t="shared" si="219"/>
        <v>832204.48500000022</v>
      </c>
      <c r="Q503" s="54"/>
      <c r="R503" s="64">
        <f t="shared" si="206"/>
        <v>832204.48500000022</v>
      </c>
      <c r="S503" s="64">
        <f t="shared" si="220"/>
        <v>9091642.5150000025</v>
      </c>
      <c r="T503" s="41"/>
    </row>
    <row r="504" spans="1:20">
      <c r="A504" s="21">
        <v>19</v>
      </c>
      <c r="B504" s="39" t="s">
        <v>21</v>
      </c>
      <c r="C504" s="40" t="s">
        <v>39</v>
      </c>
      <c r="D504" s="55" t="s">
        <v>27</v>
      </c>
      <c r="E504" s="24">
        <v>4.32</v>
      </c>
      <c r="F504" s="24"/>
      <c r="G504" s="33"/>
      <c r="H504" s="36"/>
      <c r="I504" s="48">
        <f>(E504+F504+G504)*22%</f>
        <v>0.95040000000000002</v>
      </c>
      <c r="J504" s="49">
        <f>30/100*(E504+F504+G504)</f>
        <v>1.296</v>
      </c>
      <c r="K504" s="50">
        <f t="shared" si="208"/>
        <v>6.5664000000000007</v>
      </c>
      <c r="L504" s="51">
        <f t="shared" si="209"/>
        <v>9783936.0000000019</v>
      </c>
      <c r="M504" s="58"/>
      <c r="N504" s="58"/>
      <c r="O504" s="51">
        <f t="shared" si="210"/>
        <v>9783936.0000000019</v>
      </c>
      <c r="P504" s="53">
        <f t="shared" si="219"/>
        <v>824554.08000000007</v>
      </c>
      <c r="Q504" s="54"/>
      <c r="R504" s="53">
        <f t="shared" si="206"/>
        <v>824554.08000000007</v>
      </c>
      <c r="S504" s="53">
        <f t="shared" si="220"/>
        <v>8959381.9200000018</v>
      </c>
      <c r="T504" s="41" t="s">
        <v>274</v>
      </c>
    </row>
    <row r="505" spans="1:20" ht="16.5">
      <c r="A505" s="21">
        <v>20</v>
      </c>
      <c r="B505" s="39" t="s">
        <v>22</v>
      </c>
      <c r="C505" s="40" t="s">
        <v>40</v>
      </c>
      <c r="D505" s="55" t="s">
        <v>90</v>
      </c>
      <c r="E505" s="24">
        <v>3.96</v>
      </c>
      <c r="F505" s="24">
        <v>0.15</v>
      </c>
      <c r="G505" s="33"/>
      <c r="H505" s="36"/>
      <c r="I505" s="48">
        <f>(E505+F505+G505)*18/100</f>
        <v>0.73980000000000001</v>
      </c>
      <c r="J505" s="49">
        <f t="shared" ref="J505" si="222">30/100*(E505+F505+G505)</f>
        <v>1.2330000000000001</v>
      </c>
      <c r="K505" s="50">
        <f t="shared" si="208"/>
        <v>6.0828000000000007</v>
      </c>
      <c r="L505" s="51">
        <f t="shared" si="209"/>
        <v>9063372.0000000019</v>
      </c>
      <c r="M505" s="58"/>
      <c r="N505" s="58"/>
      <c r="O505" s="51">
        <f t="shared" si="210"/>
        <v>9063372.0000000019</v>
      </c>
      <c r="P505" s="53">
        <f t="shared" si="219"/>
        <v>758751.21</v>
      </c>
      <c r="Q505" s="54"/>
      <c r="R505" s="53">
        <f t="shared" si="206"/>
        <v>758751.21</v>
      </c>
      <c r="S505" s="53">
        <f t="shared" si="220"/>
        <v>8304620.7900000019</v>
      </c>
      <c r="T505" s="41"/>
    </row>
    <row r="506" spans="1:20" ht="15.75">
      <c r="A506" s="21">
        <v>21</v>
      </c>
      <c r="B506" s="39" t="s">
        <v>21</v>
      </c>
      <c r="C506" s="40" t="s">
        <v>73</v>
      </c>
      <c r="D506" s="55" t="s">
        <v>27</v>
      </c>
      <c r="E506" s="24">
        <v>3.99</v>
      </c>
      <c r="F506" s="24"/>
      <c r="G506" s="14"/>
      <c r="H506" s="10"/>
      <c r="I506" s="48">
        <f>(E506+F506+G506)*17%</f>
        <v>0.67830000000000013</v>
      </c>
      <c r="J506" s="49">
        <f>30/100*(E506+F506+G506)</f>
        <v>1.1970000000000001</v>
      </c>
      <c r="K506" s="50">
        <f t="shared" si="208"/>
        <v>5.8653000000000004</v>
      </c>
      <c r="L506" s="51">
        <f t="shared" si="209"/>
        <v>8739297</v>
      </c>
      <c r="M506" s="65"/>
      <c r="N506" s="65"/>
      <c r="O506" s="51">
        <f>L506-M506+N506</f>
        <v>8739297</v>
      </c>
      <c r="P506" s="53">
        <f t="shared" si="219"/>
        <v>730355.53500000003</v>
      </c>
      <c r="Q506" s="54"/>
      <c r="R506" s="53">
        <f t="shared" si="206"/>
        <v>730355.53500000003</v>
      </c>
      <c r="S506" s="53">
        <f>O506-R506-N506</f>
        <v>8008941.4649999999</v>
      </c>
      <c r="T506" s="41"/>
    </row>
    <row r="507" spans="1:20" ht="15.75">
      <c r="A507" s="21">
        <v>22</v>
      </c>
      <c r="B507" s="39" t="s">
        <v>21</v>
      </c>
      <c r="C507" s="40" t="s">
        <v>41</v>
      </c>
      <c r="D507" s="55" t="s">
        <v>27</v>
      </c>
      <c r="E507" s="24">
        <v>3.99</v>
      </c>
      <c r="F507" s="56"/>
      <c r="G507" s="14"/>
      <c r="H507" s="10"/>
      <c r="I507" s="48">
        <f>(E507+F507+G507)*17/100</f>
        <v>0.67830000000000001</v>
      </c>
      <c r="J507" s="49">
        <f t="shared" ref="J507:J512" si="223">30/100*(E507+F507+G507)</f>
        <v>1.1970000000000001</v>
      </c>
      <c r="K507" s="50">
        <f t="shared" si="208"/>
        <v>5.8653000000000004</v>
      </c>
      <c r="L507" s="51">
        <f t="shared" si="209"/>
        <v>8739297</v>
      </c>
      <c r="M507" s="58"/>
      <c r="N507" s="58"/>
      <c r="O507" s="51">
        <f t="shared" ref="O507:O512" si="224">L507-M507+N507</f>
        <v>8739297</v>
      </c>
      <c r="P507" s="53">
        <f t="shared" si="219"/>
        <v>730355.53500000003</v>
      </c>
      <c r="Q507" s="54"/>
      <c r="R507" s="53">
        <f t="shared" si="206"/>
        <v>730355.53500000003</v>
      </c>
      <c r="S507" s="53">
        <f t="shared" ref="S507:S510" si="225">O507-R507</f>
        <v>8008941.4649999999</v>
      </c>
      <c r="T507" s="41"/>
    </row>
    <row r="508" spans="1:20">
      <c r="A508" s="21">
        <v>23</v>
      </c>
      <c r="B508" s="39" t="s">
        <v>21</v>
      </c>
      <c r="C508" s="40" t="s">
        <v>42</v>
      </c>
      <c r="D508" s="55" t="s">
        <v>27</v>
      </c>
      <c r="E508" s="24">
        <v>3.99</v>
      </c>
      <c r="F508" s="56"/>
      <c r="G508" s="14"/>
      <c r="H508" s="24">
        <v>0.1</v>
      </c>
      <c r="I508" s="48">
        <f>(E508+F508+G508)*17/100</f>
        <v>0.67830000000000001</v>
      </c>
      <c r="J508" s="49">
        <f t="shared" si="223"/>
        <v>1.1970000000000001</v>
      </c>
      <c r="K508" s="50">
        <f t="shared" si="208"/>
        <v>5.9653</v>
      </c>
      <c r="L508" s="51">
        <f t="shared" si="209"/>
        <v>8888297</v>
      </c>
      <c r="M508" s="58"/>
      <c r="N508" s="58"/>
      <c r="O508" s="51">
        <f t="shared" si="224"/>
        <v>8888297</v>
      </c>
      <c r="P508" s="53">
        <f t="shared" si="219"/>
        <v>730355.53500000003</v>
      </c>
      <c r="Q508" s="54"/>
      <c r="R508" s="53">
        <f t="shared" si="206"/>
        <v>730355.53500000003</v>
      </c>
      <c r="S508" s="53">
        <f t="shared" si="225"/>
        <v>8157941.4649999999</v>
      </c>
      <c r="T508" s="41"/>
    </row>
    <row r="509" spans="1:20" ht="15.75">
      <c r="A509" s="21">
        <v>24</v>
      </c>
      <c r="B509" s="39" t="s">
        <v>21</v>
      </c>
      <c r="C509" s="26" t="s">
        <v>74</v>
      </c>
      <c r="D509" s="55" t="s">
        <v>27</v>
      </c>
      <c r="E509" s="24">
        <v>3.99</v>
      </c>
      <c r="F509" s="56"/>
      <c r="G509" s="14"/>
      <c r="H509" s="10"/>
      <c r="I509" s="66">
        <f>(E509+F509+G509)*16/100</f>
        <v>0.63840000000000008</v>
      </c>
      <c r="J509" s="67">
        <f t="shared" si="223"/>
        <v>1.1970000000000001</v>
      </c>
      <c r="K509" s="68">
        <f t="shared" si="208"/>
        <v>5.8254000000000001</v>
      </c>
      <c r="L509" s="69">
        <f t="shared" si="209"/>
        <v>8679846</v>
      </c>
      <c r="M509" s="70"/>
      <c r="N509" s="70"/>
      <c r="O509" s="69">
        <f t="shared" si="224"/>
        <v>8679846</v>
      </c>
      <c r="P509" s="71">
        <f t="shared" si="219"/>
        <v>724113.17999999993</v>
      </c>
      <c r="Q509" s="54"/>
      <c r="R509" s="71">
        <f t="shared" si="206"/>
        <v>724113.17999999993</v>
      </c>
      <c r="S509" s="71">
        <f t="shared" si="225"/>
        <v>7955732.8200000003</v>
      </c>
      <c r="T509" s="41"/>
    </row>
    <row r="510" spans="1:20" ht="15.75">
      <c r="A510" s="21">
        <v>25</v>
      </c>
      <c r="B510" s="72" t="s">
        <v>21</v>
      </c>
      <c r="C510" s="26" t="s">
        <v>43</v>
      </c>
      <c r="D510" s="55" t="s">
        <v>27</v>
      </c>
      <c r="E510" s="24">
        <v>3.99</v>
      </c>
      <c r="F510" s="56"/>
      <c r="G510" s="14"/>
      <c r="H510" s="10"/>
      <c r="I510" s="66">
        <f>(E510+F510+G510)*16/100</f>
        <v>0.63840000000000008</v>
      </c>
      <c r="J510" s="67">
        <f t="shared" si="223"/>
        <v>1.1970000000000001</v>
      </c>
      <c r="K510" s="68">
        <f t="shared" si="208"/>
        <v>5.8254000000000001</v>
      </c>
      <c r="L510" s="69">
        <f t="shared" si="209"/>
        <v>8679846</v>
      </c>
      <c r="M510" s="70"/>
      <c r="N510" s="70"/>
      <c r="O510" s="69">
        <f t="shared" si="224"/>
        <v>8679846</v>
      </c>
      <c r="P510" s="71">
        <f t="shared" si="219"/>
        <v>724113.17999999993</v>
      </c>
      <c r="Q510" s="54"/>
      <c r="R510" s="71">
        <f t="shared" si="206"/>
        <v>724113.17999999993</v>
      </c>
      <c r="S510" s="71">
        <f t="shared" si="225"/>
        <v>7955732.8200000003</v>
      </c>
      <c r="T510" s="41"/>
    </row>
    <row r="511" spans="1:20" ht="15.75">
      <c r="A511" s="21">
        <v>26</v>
      </c>
      <c r="B511" s="39" t="s">
        <v>21</v>
      </c>
      <c r="C511" s="26" t="s">
        <v>58</v>
      </c>
      <c r="D511" s="55" t="s">
        <v>27</v>
      </c>
      <c r="E511" s="24">
        <v>3.33</v>
      </c>
      <c r="F511" s="56"/>
      <c r="G511" s="14"/>
      <c r="H511" s="10"/>
      <c r="I511" s="48">
        <f>(E511+F511+G511)*11%</f>
        <v>0.36630000000000001</v>
      </c>
      <c r="J511" s="49">
        <f t="shared" si="223"/>
        <v>0.999</v>
      </c>
      <c r="K511" s="50">
        <f t="shared" si="208"/>
        <v>4.6952999999999996</v>
      </c>
      <c r="L511" s="51">
        <f t="shared" si="209"/>
        <v>6995996.9999999991</v>
      </c>
      <c r="M511" s="58"/>
      <c r="N511" s="58"/>
      <c r="O511" s="51">
        <f t="shared" si="224"/>
        <v>6995996.9999999991</v>
      </c>
      <c r="P511" s="53">
        <f t="shared" si="219"/>
        <v>578286.13500000001</v>
      </c>
      <c r="Q511" s="54"/>
      <c r="R511" s="53">
        <f t="shared" si="206"/>
        <v>578286.13500000001</v>
      </c>
      <c r="S511" s="53">
        <f>O511-R511</f>
        <v>6417710.8649999993</v>
      </c>
      <c r="T511" s="41"/>
    </row>
    <row r="512" spans="1:20" ht="15.75">
      <c r="A512" s="21">
        <v>27</v>
      </c>
      <c r="B512" s="39" t="s">
        <v>21</v>
      </c>
      <c r="C512" s="40" t="s">
        <v>44</v>
      </c>
      <c r="D512" s="55" t="s">
        <v>27</v>
      </c>
      <c r="E512" s="24">
        <v>3.99</v>
      </c>
      <c r="F512" s="56"/>
      <c r="G512" s="14"/>
      <c r="H512" s="10"/>
      <c r="I512" s="48">
        <f>(E512+F512+G512)*15/100</f>
        <v>0.59850000000000003</v>
      </c>
      <c r="J512" s="49">
        <f t="shared" si="223"/>
        <v>1.1970000000000001</v>
      </c>
      <c r="K512" s="50">
        <f t="shared" si="208"/>
        <v>5.7854999999999999</v>
      </c>
      <c r="L512" s="51">
        <f t="shared" si="209"/>
        <v>8620395</v>
      </c>
      <c r="M512" s="58"/>
      <c r="N512" s="58"/>
      <c r="O512" s="51">
        <f t="shared" si="224"/>
        <v>8620395</v>
      </c>
      <c r="P512" s="53">
        <f t="shared" si="219"/>
        <v>717870.82499999995</v>
      </c>
      <c r="Q512" s="54"/>
      <c r="R512" s="53">
        <f t="shared" si="206"/>
        <v>717870.82499999995</v>
      </c>
      <c r="S512" s="53">
        <f t="shared" ref="S512:S515" si="226">O512-R512</f>
        <v>7902524.1749999998</v>
      </c>
      <c r="T512" s="41"/>
    </row>
    <row r="513" spans="1:20" ht="15.75">
      <c r="A513" s="21">
        <v>28</v>
      </c>
      <c r="B513" s="39" t="s">
        <v>53</v>
      </c>
      <c r="C513" s="73" t="s">
        <v>75</v>
      </c>
      <c r="D513" s="55" t="s">
        <v>83</v>
      </c>
      <c r="E513" s="74">
        <v>3.46</v>
      </c>
      <c r="F513" s="56">
        <v>0.15</v>
      </c>
      <c r="G513" s="14"/>
      <c r="H513" s="10"/>
      <c r="I513" s="48"/>
      <c r="J513" s="49"/>
      <c r="K513" s="50">
        <f>E513+F513+G513+H513+I513+J513</f>
        <v>3.61</v>
      </c>
      <c r="L513" s="51">
        <f>K513*1490000</f>
        <v>5378900</v>
      </c>
      <c r="M513" s="65">
        <f>L513/26*5</f>
        <v>1034403.8461538461</v>
      </c>
      <c r="N513" s="75"/>
      <c r="O513" s="51">
        <f>L513-M513+N513</f>
        <v>4344496.153846154</v>
      </c>
      <c r="P513" s="53">
        <f>((E513+F513+G513+I513)*1490000)*10.5%</f>
        <v>564784.5</v>
      </c>
      <c r="Q513" s="54"/>
      <c r="R513" s="53">
        <f t="shared" si="206"/>
        <v>564784.5</v>
      </c>
      <c r="S513" s="53">
        <f>O513-R513</f>
        <v>3779711.653846154</v>
      </c>
      <c r="T513" s="41" t="s">
        <v>272</v>
      </c>
    </row>
    <row r="514" spans="1:20" ht="16.5">
      <c r="A514" s="21">
        <v>29</v>
      </c>
      <c r="B514" s="39" t="s">
        <v>89</v>
      </c>
      <c r="C514" s="42" t="s">
        <v>46</v>
      </c>
      <c r="D514" s="55" t="s">
        <v>27</v>
      </c>
      <c r="E514" s="24">
        <v>4</v>
      </c>
      <c r="F514" s="24"/>
      <c r="G514" s="14"/>
      <c r="H514" s="10"/>
      <c r="I514" s="48">
        <f>(E514+F514+G514)*13%</f>
        <v>0.52</v>
      </c>
      <c r="J514" s="49">
        <f t="shared" ref="J514:J515" si="227">30/100*(E514+F514+G514)</f>
        <v>1.2</v>
      </c>
      <c r="K514" s="50">
        <f t="shared" ref="K514:K516" si="228">E514+F514+G514+H514+I514+J514</f>
        <v>5.72</v>
      </c>
      <c r="L514" s="51">
        <f t="shared" ref="L514:L518" si="229">K514*1490000</f>
        <v>8522800</v>
      </c>
      <c r="M514" s="58"/>
      <c r="N514" s="58"/>
      <c r="O514" s="51">
        <f t="shared" ref="O514:O522" si="230">L514-M514+N514</f>
        <v>8522800</v>
      </c>
      <c r="P514" s="53">
        <f t="shared" si="219"/>
        <v>707153.99999999988</v>
      </c>
      <c r="Q514" s="54"/>
      <c r="R514" s="53">
        <f t="shared" si="206"/>
        <v>707153.99999999988</v>
      </c>
      <c r="S514" s="76">
        <f t="shared" si="226"/>
        <v>7815646</v>
      </c>
      <c r="T514" s="41"/>
    </row>
    <row r="515" spans="1:20" ht="15.75">
      <c r="A515" s="21">
        <v>30</v>
      </c>
      <c r="B515" s="39" t="s">
        <v>21</v>
      </c>
      <c r="C515" s="40" t="s">
        <v>47</v>
      </c>
      <c r="D515" s="55" t="s">
        <v>27</v>
      </c>
      <c r="E515" s="24">
        <v>3.99</v>
      </c>
      <c r="F515" s="24"/>
      <c r="G515" s="14"/>
      <c r="H515" s="10"/>
      <c r="I515" s="48">
        <f>(E515+F515+G515)*16%</f>
        <v>0.63840000000000008</v>
      </c>
      <c r="J515" s="49">
        <f t="shared" si="227"/>
        <v>1.1970000000000001</v>
      </c>
      <c r="K515" s="50">
        <f t="shared" si="228"/>
        <v>5.8254000000000001</v>
      </c>
      <c r="L515" s="51">
        <f t="shared" si="229"/>
        <v>8679846</v>
      </c>
      <c r="M515" s="53"/>
      <c r="N515" s="58"/>
      <c r="O515" s="51">
        <f t="shared" si="230"/>
        <v>8679846</v>
      </c>
      <c r="P515" s="53">
        <f t="shared" si="219"/>
        <v>724113.17999999993</v>
      </c>
      <c r="Q515" s="54"/>
      <c r="R515" s="53">
        <f t="shared" si="206"/>
        <v>724113.17999999993</v>
      </c>
      <c r="S515" s="76">
        <f t="shared" si="226"/>
        <v>7955732.8200000003</v>
      </c>
      <c r="T515" s="41" t="s">
        <v>274</v>
      </c>
    </row>
    <row r="516" spans="1:20" ht="15.75">
      <c r="A516" s="21">
        <v>31</v>
      </c>
      <c r="B516" s="39" t="s">
        <v>21</v>
      </c>
      <c r="C516" s="40" t="s">
        <v>48</v>
      </c>
      <c r="D516" s="55" t="s">
        <v>27</v>
      </c>
      <c r="E516" s="24">
        <v>3.66</v>
      </c>
      <c r="F516" s="24"/>
      <c r="G516" s="14"/>
      <c r="H516" s="10"/>
      <c r="I516" s="48">
        <f>(E516+F516+G516)*13%</f>
        <v>0.47580000000000006</v>
      </c>
      <c r="J516" s="49">
        <f>30/100*(E516+F516+G516)</f>
        <v>1.0980000000000001</v>
      </c>
      <c r="K516" s="50">
        <f t="shared" si="228"/>
        <v>5.2338000000000005</v>
      </c>
      <c r="L516" s="51">
        <f t="shared" si="229"/>
        <v>7798362.0000000009</v>
      </c>
      <c r="M516" s="53"/>
      <c r="N516" s="58"/>
      <c r="O516" s="51">
        <f t="shared" si="230"/>
        <v>7798362.0000000009</v>
      </c>
      <c r="P516" s="53">
        <f t="shared" si="219"/>
        <v>647045.91</v>
      </c>
      <c r="Q516" s="54"/>
      <c r="R516" s="53">
        <f t="shared" si="206"/>
        <v>647045.91</v>
      </c>
      <c r="S516" s="76">
        <f>O516-R516</f>
        <v>7151316.0900000008</v>
      </c>
      <c r="T516" s="41"/>
    </row>
    <row r="517" spans="1:20" ht="15.75">
      <c r="A517" s="21">
        <v>32</v>
      </c>
      <c r="B517" s="39" t="s">
        <v>21</v>
      </c>
      <c r="C517" s="40" t="s">
        <v>92</v>
      </c>
      <c r="D517" s="55" t="s">
        <v>27</v>
      </c>
      <c r="E517" s="24">
        <v>3.33</v>
      </c>
      <c r="F517" s="24"/>
      <c r="G517" s="14"/>
      <c r="H517" s="10"/>
      <c r="I517" s="48">
        <f>(E517+F517+G517)*10%</f>
        <v>0.33300000000000002</v>
      </c>
      <c r="J517" s="49">
        <f>30/100*(E517+F517+G517)</f>
        <v>0.999</v>
      </c>
      <c r="K517" s="50">
        <f>E517+F517+G517+H517+I517+J517</f>
        <v>4.6619999999999999</v>
      </c>
      <c r="L517" s="51">
        <f t="shared" si="229"/>
        <v>6946380</v>
      </c>
      <c r="M517" s="53"/>
      <c r="N517" s="53"/>
      <c r="O517" s="51">
        <f t="shared" si="230"/>
        <v>6946380</v>
      </c>
      <c r="P517" s="53">
        <f>((E517+F517+G517+I517)*1490000)*10.5%</f>
        <v>573076.35</v>
      </c>
      <c r="Q517" s="54"/>
      <c r="R517" s="53">
        <f t="shared" si="206"/>
        <v>573076.35</v>
      </c>
      <c r="S517" s="76">
        <f t="shared" ref="S517:S518" si="231">O517-R517</f>
        <v>6373303.6500000004</v>
      </c>
      <c r="T517" s="41"/>
    </row>
    <row r="518" spans="1:20" ht="15.75">
      <c r="A518" s="21">
        <v>33</v>
      </c>
      <c r="B518" s="39" t="s">
        <v>21</v>
      </c>
      <c r="C518" s="40" t="s">
        <v>93</v>
      </c>
      <c r="D518" s="55" t="s">
        <v>27</v>
      </c>
      <c r="E518" s="24">
        <v>3.66</v>
      </c>
      <c r="F518" s="24"/>
      <c r="G518" s="14"/>
      <c r="H518" s="10"/>
      <c r="I518" s="48">
        <f>(E518+F518+G518)*11%</f>
        <v>0.40260000000000001</v>
      </c>
      <c r="J518" s="49">
        <f>30/100*(E518+F518+G518)</f>
        <v>1.0980000000000001</v>
      </c>
      <c r="K518" s="50">
        <f>E518+F518+G518+H518+I518+J518</f>
        <v>5.1605999999999996</v>
      </c>
      <c r="L518" s="51">
        <f t="shared" si="229"/>
        <v>7689293.9999999991</v>
      </c>
      <c r="M518" s="53"/>
      <c r="N518" s="53"/>
      <c r="O518" s="51">
        <f t="shared" si="230"/>
        <v>7689293.9999999991</v>
      </c>
      <c r="P518" s="53">
        <f>((E518+F518+G518+I518)*1490000)*10.5%</f>
        <v>635593.77</v>
      </c>
      <c r="Q518" s="54"/>
      <c r="R518" s="53">
        <f t="shared" si="206"/>
        <v>635593.77</v>
      </c>
      <c r="S518" s="76">
        <f t="shared" si="231"/>
        <v>7053700.2299999986</v>
      </c>
      <c r="T518" s="41"/>
    </row>
    <row r="519" spans="1:20" ht="16.5">
      <c r="A519" s="21">
        <v>34</v>
      </c>
      <c r="B519" s="39" t="s">
        <v>94</v>
      </c>
      <c r="C519" s="42" t="s">
        <v>95</v>
      </c>
      <c r="D519" s="77" t="s">
        <v>27</v>
      </c>
      <c r="E519" s="24">
        <v>3</v>
      </c>
      <c r="F519" s="24"/>
      <c r="G519" s="14"/>
      <c r="H519" s="11"/>
      <c r="I519" s="48"/>
      <c r="J519" s="49">
        <f>30/100*(E519+F519+G519)</f>
        <v>0.89999999999999991</v>
      </c>
      <c r="K519" s="50">
        <f>E519+F519+G519+H519+I519+J519</f>
        <v>3.9</v>
      </c>
      <c r="L519" s="51">
        <f>K519*1490000</f>
        <v>5811000</v>
      </c>
      <c r="M519" s="65"/>
      <c r="N519" s="65"/>
      <c r="O519" s="51">
        <f t="shared" si="230"/>
        <v>5811000</v>
      </c>
      <c r="P519" s="53">
        <f t="shared" ref="P519:P520" si="232">((E519+F519+G519+I519)*1490000-M519)*10.5%</f>
        <v>469350</v>
      </c>
      <c r="Q519" s="54"/>
      <c r="R519" s="53">
        <f t="shared" si="206"/>
        <v>469350</v>
      </c>
      <c r="S519" s="76">
        <f>O519-R519-N519</f>
        <v>5341650</v>
      </c>
      <c r="T519" s="41"/>
    </row>
    <row r="520" spans="1:20">
      <c r="A520" s="21">
        <v>35</v>
      </c>
      <c r="B520" s="39" t="s">
        <v>23</v>
      </c>
      <c r="C520" s="40" t="s">
        <v>49</v>
      </c>
      <c r="D520" s="55" t="s">
        <v>45</v>
      </c>
      <c r="E520" s="24">
        <v>3.34</v>
      </c>
      <c r="F520" s="24"/>
      <c r="G520" s="14"/>
      <c r="H520" s="24">
        <v>0.2</v>
      </c>
      <c r="I520" s="48"/>
      <c r="J520" s="49"/>
      <c r="K520" s="50">
        <f t="shared" ref="K520" si="233">E520+F520+G520+H520+I520+J520</f>
        <v>3.54</v>
      </c>
      <c r="L520" s="51">
        <f t="shared" ref="L520" si="234">K520*1490000</f>
        <v>5274600</v>
      </c>
      <c r="M520" s="53"/>
      <c r="N520" s="58"/>
      <c r="O520" s="51">
        <f t="shared" si="230"/>
        <v>5274600</v>
      </c>
      <c r="P520" s="53">
        <f t="shared" si="232"/>
        <v>522543</v>
      </c>
      <c r="Q520" s="54"/>
      <c r="R520" s="53">
        <f t="shared" si="206"/>
        <v>522543</v>
      </c>
      <c r="S520" s="76">
        <f>O520-R520</f>
        <v>4752057</v>
      </c>
      <c r="T520" s="41"/>
    </row>
    <row r="521" spans="1:20">
      <c r="A521" s="21">
        <v>36</v>
      </c>
      <c r="B521" s="39" t="s">
        <v>52</v>
      </c>
      <c r="C521" s="40" t="s">
        <v>50</v>
      </c>
      <c r="D521" s="77" t="s">
        <v>45</v>
      </c>
      <c r="E521" s="24">
        <v>2.86</v>
      </c>
      <c r="F521" s="24"/>
      <c r="G521" s="14"/>
      <c r="H521" s="24">
        <v>0.2</v>
      </c>
      <c r="I521" s="48"/>
      <c r="J521" s="49"/>
      <c r="K521" s="50">
        <f>E521+F521+G521+H521+I521+J521</f>
        <v>3.06</v>
      </c>
      <c r="L521" s="51">
        <f>K521*1490000</f>
        <v>4559400</v>
      </c>
      <c r="M521" s="53"/>
      <c r="N521" s="51"/>
      <c r="O521" s="51">
        <f t="shared" si="230"/>
        <v>4559400</v>
      </c>
      <c r="P521" s="53">
        <f>((E521+F521+G521+I521)*1490000)*10.5%</f>
        <v>447447</v>
      </c>
      <c r="Q521" s="53"/>
      <c r="R521" s="53">
        <f t="shared" si="206"/>
        <v>447447</v>
      </c>
      <c r="S521" s="76">
        <f>O521-R521</f>
        <v>4111953</v>
      </c>
      <c r="T521" s="41"/>
    </row>
    <row r="522" spans="1:20" ht="15.75">
      <c r="A522" s="21">
        <v>37</v>
      </c>
      <c r="B522" s="39" t="s">
        <v>54</v>
      </c>
      <c r="C522" s="40" t="s">
        <v>51</v>
      </c>
      <c r="D522" s="77" t="s">
        <v>96</v>
      </c>
      <c r="E522" s="24"/>
      <c r="F522" s="24"/>
      <c r="G522" s="14"/>
      <c r="H522" s="11"/>
      <c r="I522" s="48"/>
      <c r="J522" s="49"/>
      <c r="K522" s="50"/>
      <c r="L522" s="51">
        <v>3920000</v>
      </c>
      <c r="M522" s="53"/>
      <c r="N522" s="58"/>
      <c r="O522" s="51">
        <f t="shared" si="230"/>
        <v>3920000</v>
      </c>
      <c r="P522" s="53">
        <f>O522*10.5%</f>
        <v>411600</v>
      </c>
      <c r="Q522" s="53"/>
      <c r="R522" s="53">
        <f t="shared" si="206"/>
        <v>411600</v>
      </c>
      <c r="S522" s="76">
        <f>O522-R522</f>
        <v>3508400</v>
      </c>
      <c r="T522" s="2"/>
    </row>
    <row r="523" spans="1:20" ht="15.75">
      <c r="A523" s="2"/>
      <c r="B523" s="2"/>
      <c r="C523" s="3" t="s">
        <v>14</v>
      </c>
      <c r="D523" s="5"/>
      <c r="E523" s="27">
        <f t="shared" ref="E523" si="235">SUM(E486:E522)</f>
        <v>150.35999999999996</v>
      </c>
      <c r="F523" s="78">
        <f>SUM(F486:F522)</f>
        <v>2.1999999999999997</v>
      </c>
      <c r="G523" s="27">
        <f>SUM(G486:G522)</f>
        <v>0.94620000000000015</v>
      </c>
      <c r="H523" s="78">
        <f>SUM(H486:H522)</f>
        <v>0.60000000000000009</v>
      </c>
      <c r="I523" s="27">
        <f>SUM(I486:I522)</f>
        <v>26.741927999999998</v>
      </c>
      <c r="J523" s="27">
        <f t="shared" ref="J523" si="236">SUM(J486:J522)</f>
        <v>41.767860000000006</v>
      </c>
      <c r="K523" s="27">
        <f>SUM(K486:K522)</f>
        <v>222.61598800000002</v>
      </c>
      <c r="L523" s="28">
        <f t="shared" ref="L523:O523" si="237">SUM(L486:L522)</f>
        <v>335617822.12</v>
      </c>
      <c r="M523" s="75">
        <f t="shared" si="237"/>
        <v>1034403.8461538461</v>
      </c>
      <c r="N523" s="75">
        <f t="shared" si="237"/>
        <v>0</v>
      </c>
      <c r="O523" s="28">
        <f t="shared" si="237"/>
        <v>334583418.27384615</v>
      </c>
      <c r="P523" s="28">
        <f>SUM(P486:P522)</f>
        <v>28512203.505600002</v>
      </c>
      <c r="Q523" s="28">
        <f>SUM(Q486:Q522)</f>
        <v>0</v>
      </c>
      <c r="R523" s="28">
        <f t="shared" ref="R523" si="238">SUM(R486:R522)</f>
        <v>28512203.505600002</v>
      </c>
      <c r="S523" s="32">
        <f>SUM(S486:S522)</f>
        <v>306071214.76824611</v>
      </c>
      <c r="T523" s="2"/>
    </row>
    <row r="524" spans="1:20">
      <c r="E524" s="9"/>
      <c r="F524" s="9"/>
      <c r="G524" s="9"/>
      <c r="H524" s="9"/>
      <c r="I524" s="19"/>
      <c r="J524" s="17"/>
    </row>
    <row r="525" spans="1:20">
      <c r="A525" s="1" t="s">
        <v>100</v>
      </c>
      <c r="D525" s="210" t="s">
        <v>275</v>
      </c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</row>
    <row r="526" spans="1:20" ht="15.75">
      <c r="A526" s="6"/>
      <c r="E526" s="9"/>
      <c r="F526" s="9"/>
      <c r="G526" s="9"/>
      <c r="H526" s="9"/>
      <c r="I526" s="19"/>
      <c r="J526" s="17"/>
      <c r="S526" s="15"/>
    </row>
    <row r="527" spans="1:20">
      <c r="A527" s="7"/>
      <c r="B527" s="7"/>
      <c r="C527" s="7"/>
      <c r="D527" s="211"/>
      <c r="E527" s="212"/>
      <c r="F527" s="212"/>
      <c r="G527" s="37"/>
      <c r="H527" s="37"/>
      <c r="I527" s="19"/>
      <c r="J527" s="17"/>
      <c r="N527" s="43"/>
      <c r="O527" s="43"/>
      <c r="P527" s="213" t="s">
        <v>276</v>
      </c>
      <c r="Q527" s="213"/>
      <c r="R527" s="213"/>
      <c r="S527" s="213"/>
    </row>
    <row r="528" spans="1:20">
      <c r="A528" s="214" t="s">
        <v>77</v>
      </c>
      <c r="B528" s="214"/>
      <c r="C528" s="214"/>
      <c r="D528" s="214"/>
      <c r="E528" s="214"/>
      <c r="F528" s="9"/>
      <c r="G528" s="44"/>
      <c r="H528" s="44"/>
      <c r="I528" s="19"/>
      <c r="J528" s="214" t="s">
        <v>79</v>
      </c>
      <c r="K528" s="214"/>
      <c r="L528" s="214"/>
      <c r="M528" s="214"/>
      <c r="P528" s="215" t="s">
        <v>65</v>
      </c>
      <c r="Q528" s="215"/>
      <c r="R528" s="215"/>
      <c r="S528" s="215"/>
    </row>
    <row r="529" spans="1:19">
      <c r="A529" s="216" t="s">
        <v>78</v>
      </c>
      <c r="B529" s="216"/>
      <c r="C529" s="216"/>
      <c r="D529" s="216"/>
      <c r="E529" s="9"/>
      <c r="F529" s="9"/>
      <c r="G529" s="9"/>
      <c r="H529" s="9"/>
      <c r="I529" s="19"/>
      <c r="J529" s="216" t="s">
        <v>80</v>
      </c>
      <c r="K529" s="216"/>
      <c r="L529" s="216"/>
      <c r="P529" s="217" t="s">
        <v>66</v>
      </c>
      <c r="Q529" s="217"/>
      <c r="R529" s="217"/>
      <c r="S529" s="217"/>
    </row>
    <row r="530" spans="1:19">
      <c r="E530" s="9"/>
      <c r="F530" s="9"/>
      <c r="G530" s="9"/>
      <c r="H530" s="9"/>
      <c r="I530" s="19"/>
      <c r="J530" s="17"/>
    </row>
    <row r="531" spans="1:19">
      <c r="B531" s="152"/>
      <c r="C531" s="79"/>
      <c r="D531" s="152"/>
      <c r="E531" s="9"/>
      <c r="F531" s="9"/>
      <c r="G531" s="9"/>
      <c r="H531" s="9"/>
      <c r="I531" s="19"/>
      <c r="J531" s="17"/>
    </row>
    <row r="532" spans="1:19" ht="15.75">
      <c r="B532" s="152"/>
      <c r="C532" s="153"/>
      <c r="D532" s="152"/>
      <c r="E532" s="9"/>
      <c r="F532" s="9"/>
      <c r="G532" s="9"/>
      <c r="H532" s="9"/>
      <c r="I532" s="19"/>
      <c r="J532" s="17"/>
      <c r="L532" s="12"/>
      <c r="P532" s="16"/>
    </row>
    <row r="533" spans="1:19" ht="15.75">
      <c r="B533" s="152"/>
      <c r="C533" s="153"/>
      <c r="D533" s="152"/>
      <c r="E533" s="9"/>
      <c r="F533" s="9"/>
      <c r="G533" s="9"/>
      <c r="H533" s="9"/>
      <c r="I533" s="19"/>
      <c r="J533" s="17"/>
    </row>
    <row r="534" spans="1:19" ht="15.75">
      <c r="B534" s="208" t="s">
        <v>267</v>
      </c>
      <c r="C534" s="208"/>
      <c r="D534" s="208"/>
      <c r="E534" s="9"/>
      <c r="F534" s="9"/>
      <c r="G534" s="9"/>
      <c r="H534" s="9"/>
      <c r="I534" s="19"/>
      <c r="J534" s="209" t="s">
        <v>59</v>
      </c>
      <c r="K534" s="209"/>
      <c r="L534" s="209"/>
      <c r="M534" s="209"/>
      <c r="P534" s="209" t="s">
        <v>81</v>
      </c>
      <c r="Q534" s="209"/>
      <c r="R534" s="209"/>
      <c r="S534" s="209"/>
    </row>
    <row r="547" spans="1:20" ht="15.75">
      <c r="A547" s="227" t="s">
        <v>55</v>
      </c>
      <c r="B547" s="227"/>
      <c r="C547" s="227"/>
      <c r="D547" s="227"/>
      <c r="E547" s="227"/>
      <c r="F547" s="227"/>
      <c r="G547" s="227"/>
      <c r="H547" s="227"/>
      <c r="I547" s="19"/>
      <c r="J547" s="17"/>
      <c r="Q547" s="228" t="s">
        <v>300</v>
      </c>
      <c r="R547" s="228"/>
      <c r="S547" s="228"/>
    </row>
    <row r="548" spans="1:20">
      <c r="A548" s="229" t="s">
        <v>67</v>
      </c>
      <c r="B548" s="229"/>
      <c r="C548" s="229"/>
      <c r="D548" s="229"/>
      <c r="E548" s="229"/>
      <c r="F548" s="229"/>
      <c r="G548" s="229"/>
      <c r="H548" s="9"/>
      <c r="I548" s="19"/>
      <c r="J548" s="17"/>
      <c r="R548" s="230" t="s">
        <v>68</v>
      </c>
      <c r="S548" s="230"/>
    </row>
    <row r="549" spans="1:20" ht="15.75">
      <c r="A549" s="227" t="s">
        <v>56</v>
      </c>
      <c r="B549" s="227"/>
      <c r="C549" s="227"/>
      <c r="D549" s="227"/>
      <c r="E549" s="227"/>
      <c r="F549" s="227"/>
      <c r="G549" s="227"/>
      <c r="H549" s="9"/>
      <c r="I549" s="19"/>
      <c r="J549" s="17"/>
      <c r="R549" s="29" t="s">
        <v>63</v>
      </c>
    </row>
    <row r="550" spans="1:20" ht="20.25">
      <c r="A550" s="231" t="s">
        <v>76</v>
      </c>
      <c r="B550" s="231"/>
      <c r="C550" s="231"/>
      <c r="D550" s="231"/>
      <c r="E550" s="231"/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</row>
    <row r="551" spans="1:20" ht="18.75">
      <c r="A551" s="232" t="s">
        <v>289</v>
      </c>
      <c r="B551" s="232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</row>
    <row r="552" spans="1:20">
      <c r="A552" s="225" t="s">
        <v>0</v>
      </c>
      <c r="B552" s="226" t="s">
        <v>1</v>
      </c>
      <c r="C552" s="226" t="s">
        <v>2</v>
      </c>
      <c r="D552" s="226" t="s">
        <v>3</v>
      </c>
      <c r="E552" s="226" t="s">
        <v>20</v>
      </c>
      <c r="F552" s="226"/>
      <c r="G552" s="226"/>
      <c r="H552" s="226"/>
      <c r="I552" s="226"/>
      <c r="J552" s="226"/>
      <c r="K552" s="226"/>
      <c r="L552" s="226"/>
      <c r="M552" s="233" t="s">
        <v>9</v>
      </c>
      <c r="N552" s="233" t="s">
        <v>11</v>
      </c>
      <c r="O552" s="226" t="s">
        <v>12</v>
      </c>
      <c r="P552" s="234" t="s">
        <v>13</v>
      </c>
      <c r="Q552" s="235"/>
      <c r="R552" s="236"/>
      <c r="S552" s="226" t="s">
        <v>15</v>
      </c>
      <c r="T552" s="218" t="s">
        <v>57</v>
      </c>
    </row>
    <row r="553" spans="1:20">
      <c r="A553" s="225"/>
      <c r="B553" s="226"/>
      <c r="C553" s="226"/>
      <c r="D553" s="226"/>
      <c r="E553" s="221" t="s">
        <v>4</v>
      </c>
      <c r="F553" s="222" t="s">
        <v>5</v>
      </c>
      <c r="G553" s="223" t="s">
        <v>6</v>
      </c>
      <c r="H553" s="223"/>
      <c r="I553" s="223"/>
      <c r="J553" s="223"/>
      <c r="K553" s="224" t="s">
        <v>7</v>
      </c>
      <c r="L553" s="224" t="s">
        <v>8</v>
      </c>
      <c r="M553" s="233"/>
      <c r="N553" s="233"/>
      <c r="O553" s="226"/>
      <c r="P553" s="225" t="s">
        <v>10</v>
      </c>
      <c r="Q553" s="226" t="s">
        <v>85</v>
      </c>
      <c r="R553" s="225" t="s">
        <v>14</v>
      </c>
      <c r="S553" s="226"/>
      <c r="T553" s="219"/>
    </row>
    <row r="554" spans="1:20" ht="63">
      <c r="A554" s="225"/>
      <c r="B554" s="226"/>
      <c r="C554" s="226"/>
      <c r="D554" s="226"/>
      <c r="E554" s="221"/>
      <c r="F554" s="222"/>
      <c r="G554" s="164" t="s">
        <v>26</v>
      </c>
      <c r="H554" s="164" t="s">
        <v>86</v>
      </c>
      <c r="I554" s="20" t="s">
        <v>24</v>
      </c>
      <c r="J554" s="18" t="s">
        <v>25</v>
      </c>
      <c r="K554" s="224"/>
      <c r="L554" s="224"/>
      <c r="M554" s="233"/>
      <c r="N554" s="233"/>
      <c r="O554" s="226"/>
      <c r="P554" s="225"/>
      <c r="Q554" s="226"/>
      <c r="R554" s="225"/>
      <c r="S554" s="226"/>
      <c r="T554" s="220"/>
    </row>
    <row r="555" spans="1:20">
      <c r="A555" s="4" t="s">
        <v>16</v>
      </c>
      <c r="B555" s="4" t="s">
        <v>17</v>
      </c>
      <c r="C555" s="4" t="s">
        <v>18</v>
      </c>
      <c r="D555" s="4" t="s">
        <v>19</v>
      </c>
      <c r="E555" s="13">
        <v>1</v>
      </c>
      <c r="F555" s="13">
        <v>2</v>
      </c>
      <c r="G555" s="13">
        <v>3</v>
      </c>
      <c r="H555" s="13">
        <v>4</v>
      </c>
      <c r="I555" s="13">
        <v>5</v>
      </c>
      <c r="J555" s="23">
        <v>6</v>
      </c>
      <c r="K555" s="4">
        <v>7</v>
      </c>
      <c r="L555" s="4">
        <v>8</v>
      </c>
      <c r="M555" s="4">
        <v>9</v>
      </c>
      <c r="N555" s="4">
        <v>10</v>
      </c>
      <c r="O555" s="30" t="s">
        <v>87</v>
      </c>
      <c r="P555" s="30">
        <v>12</v>
      </c>
      <c r="Q555" s="30">
        <v>13</v>
      </c>
      <c r="R555" s="30">
        <v>14</v>
      </c>
      <c r="S555" s="30" t="s">
        <v>88</v>
      </c>
      <c r="T555" s="2"/>
    </row>
    <row r="556" spans="1:20" ht="16.5">
      <c r="A556" s="21">
        <v>1</v>
      </c>
      <c r="B556" s="39" t="s">
        <v>89</v>
      </c>
      <c r="C556" s="42" t="s">
        <v>60</v>
      </c>
      <c r="D556" s="46" t="s">
        <v>61</v>
      </c>
      <c r="E556" s="47">
        <v>5.0199999999999996</v>
      </c>
      <c r="F556" s="47">
        <v>0.35</v>
      </c>
      <c r="G556" s="25"/>
      <c r="H556" s="22"/>
      <c r="I556" s="48">
        <f>(E556+F556+G556)*24/100</f>
        <v>1.2887999999999999</v>
      </c>
      <c r="J556" s="49">
        <f>30/100*(E556+F556+G556)</f>
        <v>1.6109999999999998</v>
      </c>
      <c r="K556" s="50">
        <f>E556+F556+G556+H556+I556+J556</f>
        <v>8.2698</v>
      </c>
      <c r="L556" s="51">
        <f>K556*1490000</f>
        <v>12322002</v>
      </c>
      <c r="M556" s="52"/>
      <c r="N556" s="52"/>
      <c r="O556" s="51">
        <f>L556-M556+N556</f>
        <v>12322002</v>
      </c>
      <c r="P556" s="53">
        <f>((E556+F556+G556+I556)*1490000-M556)*9.5%</f>
        <v>942553.14</v>
      </c>
      <c r="Q556" s="54"/>
      <c r="R556" s="53">
        <f>P556+Q556</f>
        <v>942553.14</v>
      </c>
      <c r="S556" s="53">
        <f>O556-R556</f>
        <v>11379448.859999999</v>
      </c>
      <c r="T556" s="41"/>
    </row>
    <row r="557" spans="1:20" ht="15.75">
      <c r="A557" s="21">
        <v>2</v>
      </c>
      <c r="B557" s="39" t="s">
        <v>21</v>
      </c>
      <c r="C557" s="40" t="s">
        <v>28</v>
      </c>
      <c r="D557" s="55" t="s">
        <v>27</v>
      </c>
      <c r="E557" s="24">
        <v>4.9800000000000004</v>
      </c>
      <c r="F557" s="56"/>
      <c r="G557" s="57">
        <f>E557*7%</f>
        <v>0.34860000000000008</v>
      </c>
      <c r="H557" s="10"/>
      <c r="I557" s="48">
        <f>(E557+F557+G557)*26/100</f>
        <v>1.3854360000000003</v>
      </c>
      <c r="J557" s="49">
        <f>30/100*(E557+F557+G557)</f>
        <v>1.5985800000000001</v>
      </c>
      <c r="K557" s="50">
        <f>E557+F557+G557+H557+I557+J557</f>
        <v>8.312616000000002</v>
      </c>
      <c r="L557" s="51">
        <f>K557*1490000</f>
        <v>12385797.840000004</v>
      </c>
      <c r="M557" s="58"/>
      <c r="N557" s="58"/>
      <c r="O557" s="51">
        <f>L557-M557+N557</f>
        <v>12385797.840000004</v>
      </c>
      <c r="P557" s="53">
        <f>((E557+F557+G557+I557)*1490000-M557)*10.5%</f>
        <v>1050410.9321999999</v>
      </c>
      <c r="Q557" s="54"/>
      <c r="R557" s="53">
        <f t="shared" ref="R557:R592" si="239">P557+Q557</f>
        <v>1050410.9321999999</v>
      </c>
      <c r="S557" s="53">
        <f t="shared" ref="S557" si="240">O557-R557</f>
        <v>11335386.907800004</v>
      </c>
      <c r="T557" s="59">
        <v>7.0000000000000007E-2</v>
      </c>
    </row>
    <row r="558" spans="1:20" ht="16.5">
      <c r="A558" s="21">
        <v>3</v>
      </c>
      <c r="B558" s="39" t="s">
        <v>22</v>
      </c>
      <c r="C558" s="40" t="s">
        <v>30</v>
      </c>
      <c r="D558" s="55" t="s">
        <v>90</v>
      </c>
      <c r="E558" s="24">
        <v>4.8899999999999997</v>
      </c>
      <c r="F558" s="47">
        <v>0.15</v>
      </c>
      <c r="G558" s="57"/>
      <c r="H558" s="10"/>
      <c r="I558" s="48">
        <f>(E558+F558+G558)*31/100</f>
        <v>1.5624</v>
      </c>
      <c r="J558" s="49">
        <f>30/100*(E558+F558+G558)</f>
        <v>1.512</v>
      </c>
      <c r="K558" s="50">
        <f t="shared" ref="K558:K582" si="241">E558+F558+G558+H558+I558+J558</f>
        <v>8.1143999999999998</v>
      </c>
      <c r="L558" s="51">
        <f t="shared" ref="L558:L582" si="242">K558*1490000</f>
        <v>12090456</v>
      </c>
      <c r="M558" s="58"/>
      <c r="N558" s="58"/>
      <c r="O558" s="51">
        <f t="shared" ref="O558:O575" si="243">L558-M558+N558</f>
        <v>12090456</v>
      </c>
      <c r="P558" s="53">
        <f t="shared" ref="P558:P562" si="244">((E558+F558+G558+I558)*1490000-M558)*10.5%</f>
        <v>1032945.48</v>
      </c>
      <c r="Q558" s="54"/>
      <c r="R558" s="53">
        <f t="shared" si="239"/>
        <v>1032945.48</v>
      </c>
      <c r="S558" s="53">
        <f>O558-R558</f>
        <v>11057510.52</v>
      </c>
      <c r="T558" s="2"/>
    </row>
    <row r="559" spans="1:20" ht="15.75">
      <c r="A559" s="21">
        <v>4</v>
      </c>
      <c r="B559" s="39" t="s">
        <v>21</v>
      </c>
      <c r="C559" s="40" t="s">
        <v>32</v>
      </c>
      <c r="D559" s="55" t="s">
        <v>29</v>
      </c>
      <c r="E559" s="24">
        <v>4.9800000000000004</v>
      </c>
      <c r="F559" s="47">
        <v>0.2</v>
      </c>
      <c r="G559" s="57">
        <f>E559*5%</f>
        <v>0.24900000000000003</v>
      </c>
      <c r="H559" s="10"/>
      <c r="I559" s="48">
        <f>(E559+F559+G559)*23%</f>
        <v>1.2486700000000002</v>
      </c>
      <c r="J559" s="49">
        <f t="shared" ref="J559" si="245">30/100*(E559+F559+G559)</f>
        <v>1.6287</v>
      </c>
      <c r="K559" s="50">
        <f t="shared" si="241"/>
        <v>8.3063700000000011</v>
      </c>
      <c r="L559" s="51">
        <f t="shared" si="242"/>
        <v>12376491.300000003</v>
      </c>
      <c r="M559" s="58"/>
      <c r="N559" s="58"/>
      <c r="O559" s="51">
        <f t="shared" si="243"/>
        <v>12376491.300000003</v>
      </c>
      <c r="P559" s="53">
        <f t="shared" si="244"/>
        <v>1044721.4715</v>
      </c>
      <c r="Q559" s="54"/>
      <c r="R559" s="53">
        <f t="shared" si="239"/>
        <v>1044721.4715</v>
      </c>
      <c r="S559" s="53">
        <f t="shared" ref="S559" si="246">O559-R559</f>
        <v>11331769.828500003</v>
      </c>
      <c r="T559" s="59">
        <v>0.05</v>
      </c>
    </row>
    <row r="560" spans="1:20" ht="15.75">
      <c r="A560" s="21">
        <v>5</v>
      </c>
      <c r="B560" s="39" t="s">
        <v>21</v>
      </c>
      <c r="C560" s="40" t="s">
        <v>82</v>
      </c>
      <c r="D560" s="55" t="s">
        <v>29</v>
      </c>
      <c r="E560" s="24">
        <v>4.9800000000000004</v>
      </c>
      <c r="F560" s="47">
        <v>0.2</v>
      </c>
      <c r="G560" s="57">
        <f>E560*7%</f>
        <v>0.34860000000000008</v>
      </c>
      <c r="H560" s="10"/>
      <c r="I560" s="48">
        <f>(E560+F560+G560)*27%</f>
        <v>1.4927220000000003</v>
      </c>
      <c r="J560" s="49">
        <f>30/100*(E560+F560+G560)</f>
        <v>1.6585800000000002</v>
      </c>
      <c r="K560" s="50">
        <f t="shared" si="241"/>
        <v>8.679902000000002</v>
      </c>
      <c r="L560" s="51">
        <f t="shared" si="242"/>
        <v>12933053.980000002</v>
      </c>
      <c r="M560" s="58"/>
      <c r="N560" s="58"/>
      <c r="O560" s="51">
        <f t="shared" si="243"/>
        <v>12933053.980000002</v>
      </c>
      <c r="P560" s="53">
        <f t="shared" si="244"/>
        <v>1098485.8269</v>
      </c>
      <c r="Q560" s="54"/>
      <c r="R560" s="53">
        <f t="shared" si="239"/>
        <v>1098485.8269</v>
      </c>
      <c r="S560" s="53">
        <f>O560-R560</f>
        <v>11834568.153100003</v>
      </c>
      <c r="T560" s="59">
        <v>7.0000000000000007E-2</v>
      </c>
    </row>
    <row r="561" spans="1:20" ht="15.75">
      <c r="A561" s="21">
        <v>6</v>
      </c>
      <c r="B561" s="39" t="s">
        <v>21</v>
      </c>
      <c r="C561" s="40" t="s">
        <v>84</v>
      </c>
      <c r="D561" s="55" t="s">
        <v>62</v>
      </c>
      <c r="E561" s="24">
        <v>4.9800000000000004</v>
      </c>
      <c r="F561" s="47">
        <v>0.25</v>
      </c>
      <c r="G561" s="14"/>
      <c r="H561" s="10"/>
      <c r="I561" s="48">
        <f>(E561+F561+G561)*22%</f>
        <v>1.1506000000000001</v>
      </c>
      <c r="J561" s="49">
        <f t="shared" ref="J561" si="247">30/100*(E561+F561+G561)</f>
        <v>1.5690000000000002</v>
      </c>
      <c r="K561" s="50">
        <f t="shared" si="241"/>
        <v>7.9496000000000002</v>
      </c>
      <c r="L561" s="51">
        <f t="shared" si="242"/>
        <v>11844904</v>
      </c>
      <c r="M561" s="58"/>
      <c r="N561" s="58"/>
      <c r="O561" s="51">
        <f t="shared" si="243"/>
        <v>11844904</v>
      </c>
      <c r="P561" s="53">
        <f t="shared" si="244"/>
        <v>998244.87</v>
      </c>
      <c r="Q561" s="54"/>
      <c r="R561" s="53">
        <f t="shared" si="239"/>
        <v>998244.87</v>
      </c>
      <c r="S561" s="53">
        <f t="shared" ref="S561" si="248">O561-R561</f>
        <v>10846659.130000001</v>
      </c>
      <c r="T561" s="41"/>
    </row>
    <row r="562" spans="1:20" ht="16.5">
      <c r="A562" s="21">
        <v>7</v>
      </c>
      <c r="B562" s="39" t="s">
        <v>22</v>
      </c>
      <c r="C562" s="42" t="s">
        <v>31</v>
      </c>
      <c r="D562" s="55" t="s">
        <v>27</v>
      </c>
      <c r="E562" s="24">
        <v>4.8899999999999997</v>
      </c>
      <c r="F562" s="47"/>
      <c r="G562" s="57"/>
      <c r="H562" s="10"/>
      <c r="I562" s="48">
        <f>(E562+F562+G562)*27/100</f>
        <v>1.3203</v>
      </c>
      <c r="J562" s="49">
        <f>30/100*(E562+F562+G562)</f>
        <v>1.4669999999999999</v>
      </c>
      <c r="K562" s="50">
        <f t="shared" si="241"/>
        <v>7.6772999999999998</v>
      </c>
      <c r="L562" s="51">
        <f t="shared" si="242"/>
        <v>11439177</v>
      </c>
      <c r="M562" s="58"/>
      <c r="N562" s="58"/>
      <c r="O562" s="51">
        <f t="shared" si="243"/>
        <v>11439177</v>
      </c>
      <c r="P562" s="53">
        <f t="shared" si="244"/>
        <v>971601.43499999994</v>
      </c>
      <c r="Q562" s="54"/>
      <c r="R562" s="53">
        <f t="shared" si="239"/>
        <v>971601.43499999994</v>
      </c>
      <c r="S562" s="53">
        <f>O562-R562</f>
        <v>10467575.564999999</v>
      </c>
      <c r="T562" s="41"/>
    </row>
    <row r="563" spans="1:20" ht="15.75">
      <c r="A563" s="21">
        <v>8</v>
      </c>
      <c r="B563" s="39" t="s">
        <v>21</v>
      </c>
      <c r="C563" s="26" t="s">
        <v>70</v>
      </c>
      <c r="D563" s="55" t="s">
        <v>27</v>
      </c>
      <c r="E563" s="24">
        <v>4.9800000000000004</v>
      </c>
      <c r="F563" s="47"/>
      <c r="G563" s="14"/>
      <c r="H563" s="10"/>
      <c r="I563" s="48">
        <f>(E563+F563+G563)*23/100</f>
        <v>1.1454</v>
      </c>
      <c r="J563" s="49">
        <f t="shared" ref="J563:J565" si="249">30/100*(E563+F563+G563)</f>
        <v>1.494</v>
      </c>
      <c r="K563" s="50">
        <f t="shared" si="241"/>
        <v>7.6194000000000006</v>
      </c>
      <c r="L563" s="51">
        <f t="shared" si="242"/>
        <v>11352906</v>
      </c>
      <c r="M563" s="58"/>
      <c r="N563" s="58"/>
      <c r="O563" s="51">
        <f t="shared" si="243"/>
        <v>11352906</v>
      </c>
      <c r="P563" s="53">
        <f>((E563+F563+G563+I563)*1490000-M563)*10.5%</f>
        <v>958318.83000000019</v>
      </c>
      <c r="Q563" s="54"/>
      <c r="R563" s="53">
        <f t="shared" si="239"/>
        <v>958318.83000000019</v>
      </c>
      <c r="S563" s="53">
        <f>O563-R563</f>
        <v>10394587.17</v>
      </c>
      <c r="T563" s="41"/>
    </row>
    <row r="564" spans="1:20" ht="15.75">
      <c r="A564" s="21">
        <v>9</v>
      </c>
      <c r="B564" s="39" t="s">
        <v>21</v>
      </c>
      <c r="C564" s="26" t="s">
        <v>33</v>
      </c>
      <c r="D564" s="55" t="s">
        <v>29</v>
      </c>
      <c r="E564" s="24">
        <v>4.6500000000000004</v>
      </c>
      <c r="F564" s="47">
        <v>0.2</v>
      </c>
      <c r="G564" s="14"/>
      <c r="H564" s="10"/>
      <c r="I564" s="48">
        <f>(E564+F564+G564)*22/100</f>
        <v>1.0670000000000002</v>
      </c>
      <c r="J564" s="49">
        <f t="shared" si="249"/>
        <v>1.4550000000000001</v>
      </c>
      <c r="K564" s="50">
        <f t="shared" si="241"/>
        <v>7.3720000000000008</v>
      </c>
      <c r="L564" s="51">
        <f t="shared" si="242"/>
        <v>10984280.000000002</v>
      </c>
      <c r="M564" s="58"/>
      <c r="N564" s="58"/>
      <c r="O564" s="51">
        <f t="shared" si="243"/>
        <v>10984280.000000002</v>
      </c>
      <c r="P564" s="53">
        <f t="shared" ref="P564:P565" si="250">((E564+F564+G564+I564)*1490000-M564)*10.5%</f>
        <v>925714.65000000014</v>
      </c>
      <c r="Q564" s="54"/>
      <c r="R564" s="53">
        <f t="shared" si="239"/>
        <v>925714.65000000014</v>
      </c>
      <c r="S564" s="53">
        <f t="shared" ref="S564:S566" si="251">O564-R564</f>
        <v>10058565.350000001</v>
      </c>
      <c r="T564" s="41"/>
    </row>
    <row r="565" spans="1:20" ht="15.75">
      <c r="A565" s="21">
        <v>10</v>
      </c>
      <c r="B565" s="39" t="s">
        <v>21</v>
      </c>
      <c r="C565" s="26" t="s">
        <v>34</v>
      </c>
      <c r="D565" s="55" t="s">
        <v>27</v>
      </c>
      <c r="E565" s="24">
        <v>4.32</v>
      </c>
      <c r="F565" s="47"/>
      <c r="G565" s="14"/>
      <c r="H565" s="10"/>
      <c r="I565" s="48">
        <f>(E565+F565+G565)*19/100</f>
        <v>0.82080000000000009</v>
      </c>
      <c r="J565" s="49">
        <f t="shared" si="249"/>
        <v>1.296</v>
      </c>
      <c r="K565" s="50">
        <f t="shared" si="241"/>
        <v>6.4368000000000007</v>
      </c>
      <c r="L565" s="51">
        <f t="shared" si="242"/>
        <v>9590832.0000000019</v>
      </c>
      <c r="M565" s="58"/>
      <c r="N565" s="58"/>
      <c r="O565" s="51">
        <f t="shared" si="243"/>
        <v>9590832.0000000019</v>
      </c>
      <c r="P565" s="53">
        <f t="shared" si="250"/>
        <v>804278.16</v>
      </c>
      <c r="Q565" s="54"/>
      <c r="R565" s="53">
        <f t="shared" si="239"/>
        <v>804278.16</v>
      </c>
      <c r="S565" s="53">
        <f t="shared" si="251"/>
        <v>8786553.8400000017</v>
      </c>
      <c r="T565" s="41"/>
    </row>
    <row r="566" spans="1:20">
      <c r="A566" s="21">
        <v>11</v>
      </c>
      <c r="B566" s="39" t="s">
        <v>21</v>
      </c>
      <c r="C566" s="42" t="s">
        <v>36</v>
      </c>
      <c r="D566" s="55" t="s">
        <v>29</v>
      </c>
      <c r="E566" s="24">
        <v>4.32</v>
      </c>
      <c r="F566" s="47">
        <v>0.2</v>
      </c>
      <c r="G566" s="33"/>
      <c r="H566" s="35"/>
      <c r="I566" s="48">
        <f>(E566+F566+G566)*20%</f>
        <v>0.90400000000000014</v>
      </c>
      <c r="J566" s="49">
        <f>30/100*(E566+F566+G566)</f>
        <v>1.3560000000000001</v>
      </c>
      <c r="K566" s="50">
        <f t="shared" si="241"/>
        <v>6.78</v>
      </c>
      <c r="L566" s="51">
        <f t="shared" si="242"/>
        <v>10102200</v>
      </c>
      <c r="M566" s="58"/>
      <c r="N566" s="58"/>
      <c r="O566" s="51">
        <f t="shared" si="243"/>
        <v>10102200</v>
      </c>
      <c r="P566" s="53">
        <f>((E566+F566+G566+I566)*1490000-M566)*10.5%</f>
        <v>848584.8</v>
      </c>
      <c r="Q566" s="54"/>
      <c r="R566" s="53">
        <f t="shared" si="239"/>
        <v>848584.8</v>
      </c>
      <c r="S566" s="53">
        <f t="shared" si="251"/>
        <v>9253615.1999999993</v>
      </c>
      <c r="T566" s="151"/>
    </row>
    <row r="567" spans="1:20">
      <c r="A567" s="21">
        <v>12</v>
      </c>
      <c r="B567" s="39" t="s">
        <v>64</v>
      </c>
      <c r="C567" s="26" t="s">
        <v>59</v>
      </c>
      <c r="D567" s="55" t="s">
        <v>35</v>
      </c>
      <c r="E567" s="24">
        <v>4.2699999999999996</v>
      </c>
      <c r="F567" s="47">
        <v>0.2</v>
      </c>
      <c r="G567" s="33"/>
      <c r="H567" s="34">
        <v>0.1</v>
      </c>
      <c r="I567" s="48"/>
      <c r="J567" s="49"/>
      <c r="K567" s="50">
        <f t="shared" si="241"/>
        <v>4.5699999999999994</v>
      </c>
      <c r="L567" s="51">
        <f t="shared" si="242"/>
        <v>6809299.9999999991</v>
      </c>
      <c r="M567" s="58"/>
      <c r="N567" s="58"/>
      <c r="O567" s="51">
        <f t="shared" si="243"/>
        <v>6809299.9999999991</v>
      </c>
      <c r="P567" s="53">
        <f>((E567+F567+G567+I567)*1490000-M567)*10.5%</f>
        <v>699331.5</v>
      </c>
      <c r="Q567" s="54"/>
      <c r="R567" s="53">
        <f t="shared" si="239"/>
        <v>699331.5</v>
      </c>
      <c r="S567" s="53">
        <f>O567-R567</f>
        <v>6109968.4999999991</v>
      </c>
      <c r="T567" s="151"/>
    </row>
    <row r="568" spans="1:20" ht="18" customHeight="1">
      <c r="A568" s="21">
        <v>13</v>
      </c>
      <c r="B568" s="39" t="s">
        <v>21</v>
      </c>
      <c r="C568" s="40" t="s">
        <v>69</v>
      </c>
      <c r="D568" s="55" t="s">
        <v>27</v>
      </c>
      <c r="E568" s="24">
        <v>4.6500000000000004</v>
      </c>
      <c r="F568" s="47"/>
      <c r="G568" s="33"/>
      <c r="H568" s="35"/>
      <c r="I568" s="48">
        <f>(E568+F568+G568)*20/100</f>
        <v>0.93</v>
      </c>
      <c r="J568" s="49">
        <f>30/100*(E568+F568+G568)</f>
        <v>1.395</v>
      </c>
      <c r="K568" s="50">
        <f t="shared" si="241"/>
        <v>6.9749999999999996</v>
      </c>
      <c r="L568" s="51">
        <f t="shared" si="242"/>
        <v>10392750</v>
      </c>
      <c r="M568" s="58"/>
      <c r="N568" s="58"/>
      <c r="O568" s="51">
        <f t="shared" si="243"/>
        <v>10392750</v>
      </c>
      <c r="P568" s="53">
        <f t="shared" ref="P568:P582" si="252">((E568+F568+G568+I568)*1490000-M568)*10.5%</f>
        <v>872991</v>
      </c>
      <c r="Q568" s="54"/>
      <c r="R568" s="53">
        <f t="shared" si="239"/>
        <v>872991</v>
      </c>
      <c r="S568" s="53">
        <f t="shared" ref="S568:S575" si="253">O568-R568</f>
        <v>9519759</v>
      </c>
      <c r="T568" s="150"/>
    </row>
    <row r="569" spans="1:20" ht="18" customHeight="1">
      <c r="A569" s="21">
        <v>14</v>
      </c>
      <c r="B569" s="39" t="s">
        <v>21</v>
      </c>
      <c r="C569" s="40" t="s">
        <v>37</v>
      </c>
      <c r="D569" s="55" t="s">
        <v>27</v>
      </c>
      <c r="E569" s="24">
        <v>4.32</v>
      </c>
      <c r="F569" s="24"/>
      <c r="G569" s="33"/>
      <c r="H569" s="35"/>
      <c r="I569" s="48">
        <f>(E569+F569+G569)*20/100</f>
        <v>0.8640000000000001</v>
      </c>
      <c r="J569" s="49">
        <f>30/100*(E569+F569+G569)</f>
        <v>1.296</v>
      </c>
      <c r="K569" s="50">
        <f t="shared" si="241"/>
        <v>6.48</v>
      </c>
      <c r="L569" s="51">
        <f t="shared" si="242"/>
        <v>9655200</v>
      </c>
      <c r="M569" s="58"/>
      <c r="N569" s="58"/>
      <c r="O569" s="51">
        <f t="shared" si="243"/>
        <v>9655200</v>
      </c>
      <c r="P569" s="53">
        <f t="shared" si="252"/>
        <v>811036.79999999993</v>
      </c>
      <c r="Q569" s="54"/>
      <c r="R569" s="53">
        <f t="shared" si="239"/>
        <v>811036.79999999993</v>
      </c>
      <c r="S569" s="53">
        <f t="shared" si="253"/>
        <v>8844163.1999999993</v>
      </c>
      <c r="T569" s="2"/>
    </row>
    <row r="570" spans="1:20" ht="18" customHeight="1">
      <c r="A570" s="21">
        <v>15</v>
      </c>
      <c r="B570" s="39" t="s">
        <v>21</v>
      </c>
      <c r="C570" s="40" t="s">
        <v>71</v>
      </c>
      <c r="D570" s="55" t="s">
        <v>27</v>
      </c>
      <c r="E570" s="24">
        <v>4.32</v>
      </c>
      <c r="F570" s="24"/>
      <c r="G570" s="33"/>
      <c r="H570" s="35"/>
      <c r="I570" s="48">
        <f>(E570+F570+G570)*19/100</f>
        <v>0.82080000000000009</v>
      </c>
      <c r="J570" s="49">
        <f t="shared" ref="J570:J572" si="254">30/100*(E570+F570+G570)</f>
        <v>1.296</v>
      </c>
      <c r="K570" s="50">
        <f t="shared" si="241"/>
        <v>6.4368000000000007</v>
      </c>
      <c r="L570" s="51">
        <f t="shared" si="242"/>
        <v>9590832.0000000019</v>
      </c>
      <c r="M570" s="58"/>
      <c r="N570" s="58"/>
      <c r="O570" s="51">
        <f t="shared" si="243"/>
        <v>9590832.0000000019</v>
      </c>
      <c r="P570" s="53">
        <f t="shared" si="252"/>
        <v>804278.16</v>
      </c>
      <c r="Q570" s="54"/>
      <c r="R570" s="53">
        <f t="shared" si="239"/>
        <v>804278.16</v>
      </c>
      <c r="S570" s="53">
        <f t="shared" si="253"/>
        <v>8786553.8400000017</v>
      </c>
      <c r="T570" s="41"/>
    </row>
    <row r="571" spans="1:20" ht="18" customHeight="1">
      <c r="A571" s="21">
        <v>16</v>
      </c>
      <c r="B571" s="39" t="s">
        <v>21</v>
      </c>
      <c r="C571" s="40" t="s">
        <v>38</v>
      </c>
      <c r="D571" s="55" t="s">
        <v>27</v>
      </c>
      <c r="E571" s="24">
        <v>4.32</v>
      </c>
      <c r="F571" s="24"/>
      <c r="G571" s="33"/>
      <c r="H571" s="35"/>
      <c r="I571" s="48">
        <f>(E571+F571+G571)*18%</f>
        <v>0.77760000000000007</v>
      </c>
      <c r="J571" s="49">
        <f t="shared" si="254"/>
        <v>1.296</v>
      </c>
      <c r="K571" s="50">
        <f t="shared" si="241"/>
        <v>6.3936000000000002</v>
      </c>
      <c r="L571" s="51">
        <f t="shared" si="242"/>
        <v>9526464</v>
      </c>
      <c r="M571" s="58"/>
      <c r="N571" s="58"/>
      <c r="O571" s="51">
        <f t="shared" si="243"/>
        <v>9526464</v>
      </c>
      <c r="P571" s="53">
        <f t="shared" si="252"/>
        <v>797519.52</v>
      </c>
      <c r="Q571" s="54"/>
      <c r="R571" s="53">
        <f t="shared" si="239"/>
        <v>797519.52</v>
      </c>
      <c r="S571" s="53">
        <f t="shared" si="253"/>
        <v>8728944.4800000004</v>
      </c>
      <c r="T571" s="41"/>
    </row>
    <row r="572" spans="1:20" ht="18" customHeight="1">
      <c r="A572" s="21">
        <v>17</v>
      </c>
      <c r="B572" s="39" t="s">
        <v>21</v>
      </c>
      <c r="C572" s="40" t="s">
        <v>72</v>
      </c>
      <c r="D572" s="55" t="s">
        <v>27</v>
      </c>
      <c r="E572" s="24">
        <v>4.32</v>
      </c>
      <c r="F572" s="24"/>
      <c r="G572" s="33"/>
      <c r="H572" s="35"/>
      <c r="I572" s="48">
        <f>(E572+F572+G572)*18%</f>
        <v>0.77760000000000007</v>
      </c>
      <c r="J572" s="49">
        <f t="shared" si="254"/>
        <v>1.296</v>
      </c>
      <c r="K572" s="50">
        <f t="shared" si="241"/>
        <v>6.3936000000000002</v>
      </c>
      <c r="L572" s="51">
        <f t="shared" si="242"/>
        <v>9526464</v>
      </c>
      <c r="M572" s="58"/>
      <c r="N572" s="58"/>
      <c r="O572" s="51">
        <f t="shared" si="243"/>
        <v>9526464</v>
      </c>
      <c r="P572" s="53">
        <f t="shared" si="252"/>
        <v>797519.52</v>
      </c>
      <c r="Q572" s="54"/>
      <c r="R572" s="53">
        <f t="shared" si="239"/>
        <v>797519.52</v>
      </c>
      <c r="S572" s="53">
        <f t="shared" si="253"/>
        <v>8728944.4800000004</v>
      </c>
      <c r="T572" s="41"/>
    </row>
    <row r="573" spans="1:20" ht="18" customHeight="1">
      <c r="A573" s="21">
        <v>18</v>
      </c>
      <c r="B573" s="39" t="s">
        <v>21</v>
      </c>
      <c r="C573" s="40" t="s">
        <v>91</v>
      </c>
      <c r="D573" s="55" t="s">
        <v>27</v>
      </c>
      <c r="E573" s="24">
        <v>4.32</v>
      </c>
      <c r="F573" s="24">
        <v>0.15</v>
      </c>
      <c r="G573" s="60"/>
      <c r="H573" s="35"/>
      <c r="I573" s="48">
        <f>(E573+F573+G573)*19%</f>
        <v>0.84930000000000017</v>
      </c>
      <c r="J573" s="49">
        <f>30/100*(E573+F573+G573)</f>
        <v>1.3410000000000002</v>
      </c>
      <c r="K573" s="61">
        <f t="shared" si="241"/>
        <v>6.6603000000000012</v>
      </c>
      <c r="L573" s="62">
        <f t="shared" si="242"/>
        <v>9923847.0000000019</v>
      </c>
      <c r="M573" s="63"/>
      <c r="N573" s="63"/>
      <c r="O573" s="62">
        <f t="shared" si="243"/>
        <v>9923847.0000000019</v>
      </c>
      <c r="P573" s="64">
        <f t="shared" si="252"/>
        <v>832204.48500000022</v>
      </c>
      <c r="Q573" s="54"/>
      <c r="R573" s="64">
        <f t="shared" si="239"/>
        <v>832204.48500000022</v>
      </c>
      <c r="S573" s="64">
        <f t="shared" si="253"/>
        <v>9091642.5150000025</v>
      </c>
      <c r="T573" s="41"/>
    </row>
    <row r="574" spans="1:20" ht="18" customHeight="1">
      <c r="A574" s="21">
        <v>19</v>
      </c>
      <c r="B574" s="39" t="s">
        <v>21</v>
      </c>
      <c r="C574" s="40" t="s">
        <v>39</v>
      </c>
      <c r="D574" s="55" t="s">
        <v>27</v>
      </c>
      <c r="E574" s="24">
        <v>4.32</v>
      </c>
      <c r="F574" s="24"/>
      <c r="G574" s="33"/>
      <c r="H574" s="36"/>
      <c r="I574" s="48">
        <f>(E574+F574+G574)*22%</f>
        <v>0.95040000000000002</v>
      </c>
      <c r="J574" s="49">
        <f>30/100*(E574+F574+G574)</f>
        <v>1.296</v>
      </c>
      <c r="K574" s="50">
        <f t="shared" si="241"/>
        <v>6.5664000000000007</v>
      </c>
      <c r="L574" s="51">
        <f t="shared" si="242"/>
        <v>9783936.0000000019</v>
      </c>
      <c r="M574" s="58"/>
      <c r="N574" s="58"/>
      <c r="O574" s="51">
        <f t="shared" si="243"/>
        <v>9783936.0000000019</v>
      </c>
      <c r="P574" s="53">
        <f t="shared" si="252"/>
        <v>824554.08000000007</v>
      </c>
      <c r="Q574" s="54"/>
      <c r="R574" s="53">
        <f t="shared" si="239"/>
        <v>824554.08000000007</v>
      </c>
      <c r="S574" s="53">
        <f t="shared" si="253"/>
        <v>8959381.9200000018</v>
      </c>
      <c r="T574" s="41"/>
    </row>
    <row r="575" spans="1:20" ht="18" customHeight="1">
      <c r="A575" s="21">
        <v>20</v>
      </c>
      <c r="B575" s="39" t="s">
        <v>22</v>
      </c>
      <c r="C575" s="40" t="s">
        <v>40</v>
      </c>
      <c r="D575" s="55" t="s">
        <v>90</v>
      </c>
      <c r="E575" s="24">
        <v>3.96</v>
      </c>
      <c r="F575" s="24">
        <v>0.15</v>
      </c>
      <c r="G575" s="33"/>
      <c r="H575" s="36"/>
      <c r="I575" s="48">
        <f>(E575+F575+G575)*18/100</f>
        <v>0.73980000000000001</v>
      </c>
      <c r="J575" s="49">
        <f t="shared" ref="J575" si="255">30/100*(E575+F575+G575)</f>
        <v>1.2330000000000001</v>
      </c>
      <c r="K575" s="50">
        <f t="shared" si="241"/>
        <v>6.0828000000000007</v>
      </c>
      <c r="L575" s="51">
        <f t="shared" si="242"/>
        <v>9063372.0000000019</v>
      </c>
      <c r="M575" s="58"/>
      <c r="N575" s="58"/>
      <c r="O575" s="51">
        <f t="shared" si="243"/>
        <v>9063372.0000000019</v>
      </c>
      <c r="P575" s="53">
        <f t="shared" si="252"/>
        <v>758751.21</v>
      </c>
      <c r="Q575" s="54"/>
      <c r="R575" s="53">
        <f t="shared" si="239"/>
        <v>758751.21</v>
      </c>
      <c r="S575" s="53">
        <f t="shared" si="253"/>
        <v>8304620.7900000019</v>
      </c>
      <c r="T575" s="41"/>
    </row>
    <row r="576" spans="1:20" ht="18" customHeight="1">
      <c r="A576" s="21">
        <v>21</v>
      </c>
      <c r="B576" s="39" t="s">
        <v>21</v>
      </c>
      <c r="C576" s="40" t="s">
        <v>73</v>
      </c>
      <c r="D576" s="55" t="s">
        <v>27</v>
      </c>
      <c r="E576" s="24">
        <v>3.99</v>
      </c>
      <c r="F576" s="24"/>
      <c r="G576" s="14"/>
      <c r="H576" s="10"/>
      <c r="I576" s="48">
        <f>(E576+F576+G576)*17%</f>
        <v>0.67830000000000013</v>
      </c>
      <c r="J576" s="49">
        <f>30/100*(E576+F576+G576)</f>
        <v>1.1970000000000001</v>
      </c>
      <c r="K576" s="50">
        <f t="shared" si="241"/>
        <v>5.8653000000000004</v>
      </c>
      <c r="L576" s="51">
        <f t="shared" si="242"/>
        <v>8739297</v>
      </c>
      <c r="M576" s="65"/>
      <c r="N576" s="65"/>
      <c r="O576" s="51">
        <f>L576-M576+N576</f>
        <v>8739297</v>
      </c>
      <c r="P576" s="53">
        <f t="shared" si="252"/>
        <v>730355.53500000003</v>
      </c>
      <c r="Q576" s="54"/>
      <c r="R576" s="53">
        <f t="shared" si="239"/>
        <v>730355.53500000003</v>
      </c>
      <c r="S576" s="53">
        <f>O576-R576-N576</f>
        <v>8008941.4649999999</v>
      </c>
      <c r="T576" s="41"/>
    </row>
    <row r="577" spans="1:20" ht="18" customHeight="1">
      <c r="A577" s="21">
        <v>22</v>
      </c>
      <c r="B577" s="39" t="s">
        <v>21</v>
      </c>
      <c r="C577" s="40" t="s">
        <v>41</v>
      </c>
      <c r="D577" s="55" t="s">
        <v>27</v>
      </c>
      <c r="E577" s="24">
        <v>3.99</v>
      </c>
      <c r="F577" s="56"/>
      <c r="G577" s="14"/>
      <c r="H577" s="10"/>
      <c r="I577" s="48">
        <f>(E577+F577+G577)*17/100</f>
        <v>0.67830000000000001</v>
      </c>
      <c r="J577" s="49">
        <f t="shared" ref="J577:J582" si="256">30/100*(E577+F577+G577)</f>
        <v>1.1970000000000001</v>
      </c>
      <c r="K577" s="50">
        <f t="shared" si="241"/>
        <v>5.8653000000000004</v>
      </c>
      <c r="L577" s="51">
        <f t="shared" si="242"/>
        <v>8739297</v>
      </c>
      <c r="M577" s="58"/>
      <c r="N577" s="58"/>
      <c r="O577" s="51">
        <f t="shared" ref="O577:O582" si="257">L577-M577+N577</f>
        <v>8739297</v>
      </c>
      <c r="P577" s="53">
        <f t="shared" si="252"/>
        <v>730355.53500000003</v>
      </c>
      <c r="Q577" s="54"/>
      <c r="R577" s="53">
        <f t="shared" si="239"/>
        <v>730355.53500000003</v>
      </c>
      <c r="S577" s="53">
        <f t="shared" ref="S577:S580" si="258">O577-R577</f>
        <v>8008941.4649999999</v>
      </c>
      <c r="T577" s="41"/>
    </row>
    <row r="578" spans="1:20" ht="18" customHeight="1">
      <c r="A578" s="21">
        <v>23</v>
      </c>
      <c r="B578" s="39" t="s">
        <v>21</v>
      </c>
      <c r="C578" s="40" t="s">
        <v>42</v>
      </c>
      <c r="D578" s="55" t="s">
        <v>27</v>
      </c>
      <c r="E578" s="24">
        <v>3.99</v>
      </c>
      <c r="F578" s="56"/>
      <c r="G578" s="14"/>
      <c r="H578" s="24">
        <v>0.1</v>
      </c>
      <c r="I578" s="48">
        <f>(E578+F578+G578)*17/100</f>
        <v>0.67830000000000001</v>
      </c>
      <c r="J578" s="49">
        <f t="shared" si="256"/>
        <v>1.1970000000000001</v>
      </c>
      <c r="K578" s="50">
        <f t="shared" si="241"/>
        <v>5.9653</v>
      </c>
      <c r="L578" s="51">
        <f t="shared" si="242"/>
        <v>8888297</v>
      </c>
      <c r="M578" s="58"/>
      <c r="N578" s="58"/>
      <c r="O578" s="51">
        <f t="shared" si="257"/>
        <v>8888297</v>
      </c>
      <c r="P578" s="53">
        <f t="shared" si="252"/>
        <v>730355.53500000003</v>
      </c>
      <c r="Q578" s="54"/>
      <c r="R578" s="53">
        <f t="shared" si="239"/>
        <v>730355.53500000003</v>
      </c>
      <c r="S578" s="53">
        <f t="shared" si="258"/>
        <v>8157941.4649999999</v>
      </c>
      <c r="T578" s="41"/>
    </row>
    <row r="579" spans="1:20" ht="18" customHeight="1">
      <c r="A579" s="21">
        <v>24</v>
      </c>
      <c r="B579" s="39" t="s">
        <v>21</v>
      </c>
      <c r="C579" s="26" t="s">
        <v>74</v>
      </c>
      <c r="D579" s="55" t="s">
        <v>27</v>
      </c>
      <c r="E579" s="24">
        <v>3.99</v>
      </c>
      <c r="F579" s="56"/>
      <c r="G579" s="14"/>
      <c r="H579" s="10"/>
      <c r="I579" s="66">
        <f>(E579+F579+G579)*16/100</f>
        <v>0.63840000000000008</v>
      </c>
      <c r="J579" s="67">
        <f t="shared" si="256"/>
        <v>1.1970000000000001</v>
      </c>
      <c r="K579" s="68">
        <f t="shared" si="241"/>
        <v>5.8254000000000001</v>
      </c>
      <c r="L579" s="69">
        <f t="shared" si="242"/>
        <v>8679846</v>
      </c>
      <c r="M579" s="70"/>
      <c r="N579" s="70"/>
      <c r="O579" s="69">
        <f t="shared" si="257"/>
        <v>8679846</v>
      </c>
      <c r="P579" s="71">
        <f t="shared" si="252"/>
        <v>724113.17999999993</v>
      </c>
      <c r="Q579" s="54"/>
      <c r="R579" s="71">
        <f t="shared" si="239"/>
        <v>724113.17999999993</v>
      </c>
      <c r="S579" s="71">
        <f t="shared" si="258"/>
        <v>7955732.8200000003</v>
      </c>
      <c r="T579" s="41"/>
    </row>
    <row r="580" spans="1:20" ht="18" customHeight="1">
      <c r="A580" s="21">
        <v>25</v>
      </c>
      <c r="B580" s="72" t="s">
        <v>21</v>
      </c>
      <c r="C580" s="26" t="s">
        <v>43</v>
      </c>
      <c r="D580" s="55" t="s">
        <v>27</v>
      </c>
      <c r="E580" s="24">
        <v>3.99</v>
      </c>
      <c r="F580" s="56"/>
      <c r="G580" s="14"/>
      <c r="H580" s="10"/>
      <c r="I580" s="66">
        <f>(E580+F580+G580)*16/100</f>
        <v>0.63840000000000008</v>
      </c>
      <c r="J580" s="67">
        <f t="shared" si="256"/>
        <v>1.1970000000000001</v>
      </c>
      <c r="K580" s="68">
        <f t="shared" si="241"/>
        <v>5.8254000000000001</v>
      </c>
      <c r="L580" s="69">
        <f t="shared" si="242"/>
        <v>8679846</v>
      </c>
      <c r="M580" s="70"/>
      <c r="N580" s="70"/>
      <c r="O580" s="69">
        <f t="shared" si="257"/>
        <v>8679846</v>
      </c>
      <c r="P580" s="71">
        <f t="shared" si="252"/>
        <v>724113.17999999993</v>
      </c>
      <c r="Q580" s="54"/>
      <c r="R580" s="71">
        <f t="shared" si="239"/>
        <v>724113.17999999993</v>
      </c>
      <c r="S580" s="71">
        <f t="shared" si="258"/>
        <v>7955732.8200000003</v>
      </c>
      <c r="T580" s="41"/>
    </row>
    <row r="581" spans="1:20" ht="18" customHeight="1">
      <c r="A581" s="21">
        <v>26</v>
      </c>
      <c r="B581" s="39" t="s">
        <v>21</v>
      </c>
      <c r="C581" s="26" t="s">
        <v>58</v>
      </c>
      <c r="D581" s="55" t="s">
        <v>27</v>
      </c>
      <c r="E581" s="24">
        <v>3.33</v>
      </c>
      <c r="F581" s="56"/>
      <c r="G581" s="14"/>
      <c r="H581" s="10"/>
      <c r="I581" s="48">
        <f>(E581+F581+G581)*11%</f>
        <v>0.36630000000000001</v>
      </c>
      <c r="J581" s="49">
        <f t="shared" si="256"/>
        <v>0.999</v>
      </c>
      <c r="K581" s="50">
        <f t="shared" si="241"/>
        <v>4.6952999999999996</v>
      </c>
      <c r="L581" s="51">
        <f t="shared" si="242"/>
        <v>6995996.9999999991</v>
      </c>
      <c r="M581" s="58"/>
      <c r="N581" s="58"/>
      <c r="O581" s="51">
        <f t="shared" si="257"/>
        <v>6995996.9999999991</v>
      </c>
      <c r="P581" s="53">
        <f t="shared" si="252"/>
        <v>578286.13500000001</v>
      </c>
      <c r="Q581" s="54"/>
      <c r="R581" s="53">
        <f t="shared" si="239"/>
        <v>578286.13500000001</v>
      </c>
      <c r="S581" s="53">
        <f>O581-R581</f>
        <v>6417710.8649999993</v>
      </c>
      <c r="T581" s="41"/>
    </row>
    <row r="582" spans="1:20" ht="18" customHeight="1">
      <c r="A582" s="21">
        <v>27</v>
      </c>
      <c r="B582" s="39" t="s">
        <v>21</v>
      </c>
      <c r="C582" s="40" t="s">
        <v>44</v>
      </c>
      <c r="D582" s="55" t="s">
        <v>27</v>
      </c>
      <c r="E582" s="24">
        <v>3.99</v>
      </c>
      <c r="F582" s="56"/>
      <c r="G582" s="14"/>
      <c r="H582" s="10"/>
      <c r="I582" s="48">
        <f>(E582+F582+G582)*15/100</f>
        <v>0.59850000000000003</v>
      </c>
      <c r="J582" s="49">
        <f t="shared" si="256"/>
        <v>1.1970000000000001</v>
      </c>
      <c r="K582" s="50">
        <f t="shared" si="241"/>
        <v>5.7854999999999999</v>
      </c>
      <c r="L582" s="51">
        <f t="shared" si="242"/>
        <v>8620395</v>
      </c>
      <c r="M582" s="58"/>
      <c r="N582" s="58"/>
      <c r="O582" s="51">
        <f t="shared" si="257"/>
        <v>8620395</v>
      </c>
      <c r="P582" s="53">
        <f t="shared" si="252"/>
        <v>717870.82499999995</v>
      </c>
      <c r="Q582" s="54"/>
      <c r="R582" s="53">
        <f t="shared" si="239"/>
        <v>717870.82499999995</v>
      </c>
      <c r="S582" s="53">
        <f t="shared" ref="S582" si="259">O582-R582</f>
        <v>7902524.1749999998</v>
      </c>
      <c r="T582" s="41"/>
    </row>
    <row r="583" spans="1:20" ht="18" customHeight="1">
      <c r="A583" s="21">
        <v>28</v>
      </c>
      <c r="B583" s="39" t="s">
        <v>53</v>
      </c>
      <c r="C583" s="73" t="s">
        <v>75</v>
      </c>
      <c r="D583" s="55" t="s">
        <v>83</v>
      </c>
      <c r="E583" s="74">
        <v>3.46</v>
      </c>
      <c r="F583" s="56">
        <v>0.15</v>
      </c>
      <c r="G583" s="14"/>
      <c r="H583" s="10"/>
      <c r="I583" s="48"/>
      <c r="J583" s="49"/>
      <c r="K583" s="50">
        <f>E583+F583+G583+H583+I583+J583</f>
        <v>3.61</v>
      </c>
      <c r="L583" s="51">
        <f>K583*1490000</f>
        <v>5378900</v>
      </c>
      <c r="M583" s="65"/>
      <c r="N583" s="75"/>
      <c r="O583" s="51">
        <f>L583-M583+N583</f>
        <v>5378900</v>
      </c>
      <c r="P583" s="53">
        <f>((E583+F583+G583+I583)*1490000)*10.5%</f>
        <v>564784.5</v>
      </c>
      <c r="Q583" s="54"/>
      <c r="R583" s="53">
        <f t="shared" si="239"/>
        <v>564784.5</v>
      </c>
      <c r="S583" s="53">
        <f>O583-R583</f>
        <v>4814115.5</v>
      </c>
      <c r="T583" s="41"/>
    </row>
    <row r="584" spans="1:20" ht="18" customHeight="1">
      <c r="A584" s="21">
        <v>29</v>
      </c>
      <c r="B584" s="39" t="s">
        <v>89</v>
      </c>
      <c r="C584" s="42" t="s">
        <v>46</v>
      </c>
      <c r="D584" s="55" t="s">
        <v>27</v>
      </c>
      <c r="E584" s="24">
        <v>4</v>
      </c>
      <c r="F584" s="24"/>
      <c r="G584" s="14"/>
      <c r="H584" s="10"/>
      <c r="I584" s="48">
        <f>(E584+F584+G584)*13%</f>
        <v>0.52</v>
      </c>
      <c r="J584" s="49">
        <f t="shared" ref="J584:J585" si="260">30/100*(E584+F584+G584)</f>
        <v>1.2</v>
      </c>
      <c r="K584" s="50">
        <f t="shared" ref="K584:K586" si="261">E584+F584+G584+H584+I584+J584</f>
        <v>5.72</v>
      </c>
      <c r="L584" s="51">
        <f t="shared" ref="L584:L588" si="262">K584*1490000</f>
        <v>8522800</v>
      </c>
      <c r="M584" s="58"/>
      <c r="N584" s="58"/>
      <c r="O584" s="51">
        <f t="shared" ref="O584:O592" si="263">L584-M584+N584</f>
        <v>8522800</v>
      </c>
      <c r="P584" s="53">
        <f t="shared" ref="P584:P586" si="264">((E584+F584+G584+I584)*1490000-M584)*10.5%</f>
        <v>707153.99999999988</v>
      </c>
      <c r="Q584" s="54"/>
      <c r="R584" s="53">
        <f t="shared" si="239"/>
        <v>707153.99999999988</v>
      </c>
      <c r="S584" s="76">
        <f t="shared" ref="S584:S585" si="265">O584-R584</f>
        <v>7815646</v>
      </c>
      <c r="T584" s="41"/>
    </row>
    <row r="585" spans="1:20" ht="18" customHeight="1">
      <c r="A585" s="21">
        <v>30</v>
      </c>
      <c r="B585" s="39" t="s">
        <v>21</v>
      </c>
      <c r="C585" s="40" t="s">
        <v>47</v>
      </c>
      <c r="D585" s="55" t="s">
        <v>27</v>
      </c>
      <c r="E585" s="24">
        <v>3.99</v>
      </c>
      <c r="F585" s="24"/>
      <c r="G585" s="14"/>
      <c r="H585" s="10"/>
      <c r="I585" s="48">
        <f>(E585+F585+G585)*16%</f>
        <v>0.63840000000000008</v>
      </c>
      <c r="J585" s="49">
        <f t="shared" si="260"/>
        <v>1.1970000000000001</v>
      </c>
      <c r="K585" s="50">
        <f t="shared" si="261"/>
        <v>5.8254000000000001</v>
      </c>
      <c r="L585" s="51">
        <f t="shared" si="262"/>
        <v>8679846</v>
      </c>
      <c r="M585" s="53"/>
      <c r="N585" s="58"/>
      <c r="O585" s="51">
        <f t="shared" si="263"/>
        <v>8679846</v>
      </c>
      <c r="P585" s="53">
        <f t="shared" si="264"/>
        <v>724113.17999999993</v>
      </c>
      <c r="Q585" s="54"/>
      <c r="R585" s="53">
        <f t="shared" si="239"/>
        <v>724113.17999999993</v>
      </c>
      <c r="S585" s="76">
        <f t="shared" si="265"/>
        <v>7955732.8200000003</v>
      </c>
      <c r="T585" s="41"/>
    </row>
    <row r="586" spans="1:20" ht="18" customHeight="1">
      <c r="A586" s="21">
        <v>31</v>
      </c>
      <c r="B586" s="39" t="s">
        <v>21</v>
      </c>
      <c r="C586" s="40" t="s">
        <v>48</v>
      </c>
      <c r="D586" s="55" t="s">
        <v>27</v>
      </c>
      <c r="E586" s="24">
        <v>3.66</v>
      </c>
      <c r="F586" s="24"/>
      <c r="G586" s="14"/>
      <c r="H586" s="10"/>
      <c r="I586" s="48">
        <f>(E586+F586+G586)*13%</f>
        <v>0.47580000000000006</v>
      </c>
      <c r="J586" s="49">
        <f>30/100*(E586+F586+G586)</f>
        <v>1.0980000000000001</v>
      </c>
      <c r="K586" s="50">
        <f t="shared" si="261"/>
        <v>5.2338000000000005</v>
      </c>
      <c r="L586" s="51">
        <f t="shared" si="262"/>
        <v>7798362.0000000009</v>
      </c>
      <c r="M586" s="53"/>
      <c r="N586" s="58"/>
      <c r="O586" s="51">
        <f t="shared" si="263"/>
        <v>7798362.0000000009</v>
      </c>
      <c r="P586" s="53">
        <f t="shared" si="264"/>
        <v>647045.91</v>
      </c>
      <c r="Q586" s="54"/>
      <c r="R586" s="53">
        <f t="shared" si="239"/>
        <v>647045.91</v>
      </c>
      <c r="S586" s="76">
        <f>O586-R586</f>
        <v>7151316.0900000008</v>
      </c>
      <c r="T586" s="41"/>
    </row>
    <row r="587" spans="1:20" ht="18" customHeight="1">
      <c r="A587" s="21">
        <v>32</v>
      </c>
      <c r="B587" s="39" t="s">
        <v>21</v>
      </c>
      <c r="C587" s="40" t="s">
        <v>92</v>
      </c>
      <c r="D587" s="55" t="s">
        <v>27</v>
      </c>
      <c r="E587" s="24">
        <v>3.33</v>
      </c>
      <c r="F587" s="24"/>
      <c r="G587" s="14"/>
      <c r="H587" s="10"/>
      <c r="I587" s="48">
        <f>(E587+F587+G587)*10%</f>
        <v>0.33300000000000002</v>
      </c>
      <c r="J587" s="49">
        <f>30/100*(E587+F587+G587)</f>
        <v>0.999</v>
      </c>
      <c r="K587" s="50">
        <f>E587+F587+G587+H587+I587+J587</f>
        <v>4.6619999999999999</v>
      </c>
      <c r="L587" s="51">
        <f t="shared" si="262"/>
        <v>6946380</v>
      </c>
      <c r="M587" s="53"/>
      <c r="N587" s="53"/>
      <c r="O587" s="51">
        <f t="shared" si="263"/>
        <v>6946380</v>
      </c>
      <c r="P587" s="53">
        <f>((E587+F587+G587+I587)*1490000)*10.5%</f>
        <v>573076.35</v>
      </c>
      <c r="Q587" s="54"/>
      <c r="R587" s="53">
        <f t="shared" si="239"/>
        <v>573076.35</v>
      </c>
      <c r="S587" s="76">
        <f t="shared" ref="S587:S588" si="266">O587-R587</f>
        <v>6373303.6500000004</v>
      </c>
      <c r="T587" s="41"/>
    </row>
    <row r="588" spans="1:20" ht="18" customHeight="1">
      <c r="A588" s="21">
        <v>33</v>
      </c>
      <c r="B588" s="39" t="s">
        <v>21</v>
      </c>
      <c r="C588" s="40" t="s">
        <v>93</v>
      </c>
      <c r="D588" s="55" t="s">
        <v>27</v>
      </c>
      <c r="E588" s="24">
        <v>3.66</v>
      </c>
      <c r="F588" s="24"/>
      <c r="G588" s="14"/>
      <c r="H588" s="10"/>
      <c r="I588" s="48">
        <f>(E588+F588+G588)*11%</f>
        <v>0.40260000000000001</v>
      </c>
      <c r="J588" s="49">
        <f>30/100*(E588+F588+G588)</f>
        <v>1.0980000000000001</v>
      </c>
      <c r="K588" s="50">
        <f>E588+F588+G588+H588+I588+J588</f>
        <v>5.1605999999999996</v>
      </c>
      <c r="L588" s="51">
        <f t="shared" si="262"/>
        <v>7689293.9999999991</v>
      </c>
      <c r="M588" s="53"/>
      <c r="N588" s="53"/>
      <c r="O588" s="51">
        <f t="shared" si="263"/>
        <v>7689293.9999999991</v>
      </c>
      <c r="P588" s="53">
        <f>((E588+F588+G588+I588)*1490000)*10.5%</f>
        <v>635593.77</v>
      </c>
      <c r="Q588" s="54"/>
      <c r="R588" s="53">
        <f t="shared" si="239"/>
        <v>635593.77</v>
      </c>
      <c r="S588" s="76">
        <f t="shared" si="266"/>
        <v>7053700.2299999986</v>
      </c>
      <c r="T588" s="41"/>
    </row>
    <row r="589" spans="1:20" ht="18" customHeight="1">
      <c r="A589" s="21">
        <v>34</v>
      </c>
      <c r="B589" s="39" t="s">
        <v>94</v>
      </c>
      <c r="C589" s="42" t="s">
        <v>95</v>
      </c>
      <c r="D589" s="77" t="s">
        <v>27</v>
      </c>
      <c r="E589" s="24">
        <v>3</v>
      </c>
      <c r="F589" s="24"/>
      <c r="G589" s="14"/>
      <c r="H589" s="11"/>
      <c r="I589" s="48"/>
      <c r="J589" s="49">
        <f>30/100*(E589+F589+G589)</f>
        <v>0.89999999999999991</v>
      </c>
      <c r="K589" s="50">
        <f>E589+F589+G589+H589+I589+J589</f>
        <v>3.9</v>
      </c>
      <c r="L589" s="51">
        <f>K589*1490000</f>
        <v>5811000</v>
      </c>
      <c r="M589" s="65"/>
      <c r="N589" s="65"/>
      <c r="O589" s="51">
        <f t="shared" si="263"/>
        <v>5811000</v>
      </c>
      <c r="P589" s="53">
        <f t="shared" ref="P589:P590" si="267">((E589+F589+G589+I589)*1490000-M589)*10.5%</f>
        <v>469350</v>
      </c>
      <c r="Q589" s="54"/>
      <c r="R589" s="53">
        <f t="shared" si="239"/>
        <v>469350</v>
      </c>
      <c r="S589" s="76">
        <f>O589-R589-N589</f>
        <v>5341650</v>
      </c>
      <c r="T589" s="41"/>
    </row>
    <row r="590" spans="1:20" ht="18" customHeight="1">
      <c r="A590" s="21">
        <v>35</v>
      </c>
      <c r="B590" s="39" t="s">
        <v>23</v>
      </c>
      <c r="C590" s="40" t="s">
        <v>49</v>
      </c>
      <c r="D590" s="55" t="s">
        <v>45</v>
      </c>
      <c r="E590" s="24">
        <v>3.34</v>
      </c>
      <c r="F590" s="24"/>
      <c r="G590" s="14"/>
      <c r="H590" s="24">
        <v>0.2</v>
      </c>
      <c r="I590" s="48"/>
      <c r="J590" s="49"/>
      <c r="K590" s="50">
        <f t="shared" ref="K590" si="268">E590+F590+G590+H590+I590+J590</f>
        <v>3.54</v>
      </c>
      <c r="L590" s="51">
        <f t="shared" ref="L590" si="269">K590*1490000</f>
        <v>5274600</v>
      </c>
      <c r="M590" s="53"/>
      <c r="N590" s="58"/>
      <c r="O590" s="51">
        <f t="shared" si="263"/>
        <v>5274600</v>
      </c>
      <c r="P590" s="53">
        <f t="shared" si="267"/>
        <v>522543</v>
      </c>
      <c r="Q590" s="54"/>
      <c r="R590" s="53">
        <f t="shared" si="239"/>
        <v>522543</v>
      </c>
      <c r="S590" s="76">
        <f>O590-R590</f>
        <v>4752057</v>
      </c>
      <c r="T590" s="41"/>
    </row>
    <row r="591" spans="1:20" ht="18" customHeight="1">
      <c r="A591" s="21">
        <v>36</v>
      </c>
      <c r="B591" s="39" t="s">
        <v>52</v>
      </c>
      <c r="C591" s="40" t="s">
        <v>50</v>
      </c>
      <c r="D591" s="77" t="s">
        <v>45</v>
      </c>
      <c r="E591" s="24">
        <v>2.86</v>
      </c>
      <c r="F591" s="24"/>
      <c r="G591" s="14"/>
      <c r="H591" s="24">
        <v>0.2</v>
      </c>
      <c r="I591" s="48"/>
      <c r="J591" s="49"/>
      <c r="K591" s="50">
        <f>E591+F591+G591+H591+I591+J591</f>
        <v>3.06</v>
      </c>
      <c r="L591" s="51">
        <f>K591*1490000</f>
        <v>4559400</v>
      </c>
      <c r="M591" s="53"/>
      <c r="N591" s="51"/>
      <c r="O591" s="51">
        <f t="shared" si="263"/>
        <v>4559400</v>
      </c>
      <c r="P591" s="53">
        <f>((E591+F591+G591+I591)*1490000)*10.5%</f>
        <v>447447</v>
      </c>
      <c r="Q591" s="53"/>
      <c r="R591" s="53">
        <f t="shared" si="239"/>
        <v>447447</v>
      </c>
      <c r="S591" s="76">
        <f>O591-R591</f>
        <v>4111953</v>
      </c>
      <c r="T591" s="41"/>
    </row>
    <row r="592" spans="1:20" ht="18" customHeight="1">
      <c r="A592" s="21">
        <v>37</v>
      </c>
      <c r="B592" s="39" t="s">
        <v>54</v>
      </c>
      <c r="C592" s="40" t="s">
        <v>51</v>
      </c>
      <c r="D592" s="77" t="s">
        <v>96</v>
      </c>
      <c r="E592" s="24"/>
      <c r="F592" s="24"/>
      <c r="G592" s="14"/>
      <c r="H592" s="11"/>
      <c r="I592" s="48"/>
      <c r="J592" s="49"/>
      <c r="K592" s="50"/>
      <c r="L592" s="51">
        <v>3920000</v>
      </c>
      <c r="M592" s="53"/>
      <c r="N592" s="58"/>
      <c r="O592" s="51">
        <f t="shared" si="263"/>
        <v>3920000</v>
      </c>
      <c r="P592" s="53">
        <f>O592*10.5%</f>
        <v>411600</v>
      </c>
      <c r="Q592" s="53"/>
      <c r="R592" s="53">
        <f t="shared" si="239"/>
        <v>411600</v>
      </c>
      <c r="S592" s="76">
        <f>O592-R592</f>
        <v>3508400</v>
      </c>
      <c r="T592" s="2"/>
    </row>
    <row r="593" spans="1:20" ht="19.5" customHeight="1">
      <c r="A593" s="2"/>
      <c r="B593" s="2"/>
      <c r="C593" s="3" t="s">
        <v>14</v>
      </c>
      <c r="D593" s="5"/>
      <c r="E593" s="27">
        <f t="shared" ref="E593" si="270">SUM(E556:E592)</f>
        <v>150.35999999999996</v>
      </c>
      <c r="F593" s="78">
        <f>SUM(F556:F592)</f>
        <v>2.1999999999999997</v>
      </c>
      <c r="G593" s="27">
        <f>SUM(G556:G592)</f>
        <v>0.94620000000000015</v>
      </c>
      <c r="H593" s="78">
        <f>SUM(H556:H592)</f>
        <v>0.60000000000000009</v>
      </c>
      <c r="I593" s="27">
        <f>SUM(I556:I592)</f>
        <v>26.741927999999998</v>
      </c>
      <c r="J593" s="27">
        <f t="shared" ref="J593" si="271">SUM(J556:J592)</f>
        <v>41.767860000000006</v>
      </c>
      <c r="K593" s="27">
        <f>SUM(K556:K592)</f>
        <v>222.61598800000002</v>
      </c>
      <c r="L593" s="28">
        <f t="shared" ref="L593:O593" si="272">SUM(L556:L592)</f>
        <v>335617822.12</v>
      </c>
      <c r="M593" s="75">
        <f t="shared" si="272"/>
        <v>0</v>
      </c>
      <c r="N593" s="75">
        <f t="shared" si="272"/>
        <v>0</v>
      </c>
      <c r="O593" s="28">
        <f t="shared" si="272"/>
        <v>335617822.12</v>
      </c>
      <c r="P593" s="28">
        <f>SUM(P556:P592)</f>
        <v>28512203.505600002</v>
      </c>
      <c r="Q593" s="28">
        <f>SUM(Q556:Q592)</f>
        <v>0</v>
      </c>
      <c r="R593" s="28">
        <f t="shared" ref="R593" si="273">SUM(R556:R592)</f>
        <v>28512203.505600002</v>
      </c>
      <c r="S593" s="32">
        <f>SUM(S556:S592)</f>
        <v>307105618.61439997</v>
      </c>
      <c r="T593" s="2"/>
    </row>
    <row r="594" spans="1:20">
      <c r="E594" s="9"/>
      <c r="F594" s="9"/>
      <c r="G594" s="9"/>
      <c r="H594" s="9"/>
      <c r="I594" s="19"/>
      <c r="J594" s="17"/>
    </row>
    <row r="595" spans="1:20">
      <c r="A595" s="1" t="s">
        <v>100</v>
      </c>
      <c r="D595" s="210" t="s">
        <v>291</v>
      </c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</row>
    <row r="596" spans="1:20" ht="15.75">
      <c r="A596" s="6"/>
      <c r="E596" s="9"/>
      <c r="F596" s="9"/>
      <c r="G596" s="9"/>
      <c r="H596" s="9"/>
      <c r="I596" s="19"/>
      <c r="J596" s="17"/>
      <c r="S596" s="15"/>
    </row>
    <row r="597" spans="1:20">
      <c r="A597" s="7"/>
      <c r="B597" s="7"/>
      <c r="C597" s="7"/>
      <c r="D597" s="211"/>
      <c r="E597" s="212"/>
      <c r="F597" s="212"/>
      <c r="G597" s="37"/>
      <c r="H597" s="37"/>
      <c r="I597" s="19"/>
      <c r="J597" s="17"/>
      <c r="N597" s="43"/>
      <c r="O597" s="43"/>
      <c r="P597" s="213" t="s">
        <v>290</v>
      </c>
      <c r="Q597" s="213"/>
      <c r="R597" s="213"/>
      <c r="S597" s="213"/>
    </row>
    <row r="598" spans="1:20">
      <c r="A598" s="214" t="s">
        <v>77</v>
      </c>
      <c r="B598" s="214"/>
      <c r="C598" s="214"/>
      <c r="D598" s="214"/>
      <c r="E598" s="214"/>
      <c r="F598" s="9"/>
      <c r="G598" s="44"/>
      <c r="H598" s="44"/>
      <c r="I598" s="19"/>
      <c r="J598" s="214" t="s">
        <v>79</v>
      </c>
      <c r="K598" s="214"/>
      <c r="L598" s="214"/>
      <c r="M598" s="214"/>
      <c r="P598" s="215" t="s">
        <v>65</v>
      </c>
      <c r="Q598" s="215"/>
      <c r="R598" s="215"/>
      <c r="S598" s="215"/>
    </row>
    <row r="599" spans="1:20">
      <c r="A599" s="216" t="s">
        <v>78</v>
      </c>
      <c r="B599" s="216"/>
      <c r="C599" s="216"/>
      <c r="D599" s="216"/>
      <c r="E599" s="9"/>
      <c r="F599" s="9"/>
      <c r="G599" s="9"/>
      <c r="H599" s="9"/>
      <c r="I599" s="19"/>
      <c r="J599" s="216" t="s">
        <v>80</v>
      </c>
      <c r="K599" s="216"/>
      <c r="L599" s="216"/>
      <c r="P599" s="217" t="s">
        <v>66</v>
      </c>
      <c r="Q599" s="217"/>
      <c r="R599" s="217"/>
      <c r="S599" s="217"/>
    </row>
    <row r="600" spans="1:20">
      <c r="E600" s="9"/>
      <c r="F600" s="9"/>
      <c r="G600" s="9"/>
      <c r="H600" s="9"/>
      <c r="I600" s="19"/>
      <c r="J600" s="17"/>
    </row>
    <row r="601" spans="1:20">
      <c r="B601" s="152"/>
      <c r="C601" s="79"/>
      <c r="D601" s="152"/>
      <c r="E601" s="9"/>
      <c r="F601" s="9"/>
      <c r="G601" s="9"/>
      <c r="H601" s="9"/>
      <c r="I601" s="19"/>
      <c r="J601" s="17"/>
    </row>
    <row r="602" spans="1:20" ht="15.75">
      <c r="B602" s="152"/>
      <c r="C602" s="153"/>
      <c r="D602" s="152"/>
      <c r="E602" s="9"/>
      <c r="F602" s="9"/>
      <c r="G602" s="9"/>
      <c r="H602" s="9"/>
      <c r="I602" s="19"/>
      <c r="J602" s="17"/>
      <c r="L602" s="12"/>
      <c r="P602" s="16"/>
    </row>
    <row r="603" spans="1:20" ht="15.75">
      <c r="B603" s="152"/>
      <c r="C603" s="153"/>
      <c r="D603" s="152"/>
      <c r="E603" s="9"/>
      <c r="F603" s="9"/>
      <c r="G603" s="9"/>
      <c r="H603" s="9"/>
      <c r="I603" s="19"/>
      <c r="J603" s="17"/>
    </row>
    <row r="604" spans="1:20" ht="15.75">
      <c r="B604" s="208" t="s">
        <v>267</v>
      </c>
      <c r="C604" s="208"/>
      <c r="D604" s="208"/>
      <c r="E604" s="9"/>
      <c r="F604" s="9"/>
      <c r="G604" s="9"/>
      <c r="H604" s="9"/>
      <c r="I604" s="19"/>
      <c r="J604" s="209" t="s">
        <v>59</v>
      </c>
      <c r="K604" s="209"/>
      <c r="L604" s="209"/>
      <c r="M604" s="209"/>
      <c r="P604" s="209" t="s">
        <v>81</v>
      </c>
      <c r="Q604" s="209"/>
      <c r="R604" s="209"/>
      <c r="S604" s="209"/>
    </row>
    <row r="612" spans="1:22" ht="15.75">
      <c r="A612" s="227" t="s">
        <v>55</v>
      </c>
      <c r="B612" s="227"/>
      <c r="C612" s="227"/>
      <c r="D612" s="227"/>
      <c r="E612" s="227"/>
      <c r="F612" s="227"/>
      <c r="G612" s="227"/>
      <c r="H612" s="227"/>
      <c r="I612" s="19"/>
      <c r="J612" s="17"/>
      <c r="Q612" s="228" t="s">
        <v>301</v>
      </c>
      <c r="R612" s="228"/>
      <c r="S612" s="228"/>
    </row>
    <row r="613" spans="1:22">
      <c r="A613" s="229" t="s">
        <v>67</v>
      </c>
      <c r="B613" s="229"/>
      <c r="C613" s="229"/>
      <c r="D613" s="229"/>
      <c r="E613" s="229"/>
      <c r="F613" s="229"/>
      <c r="G613" s="229"/>
      <c r="H613" s="9"/>
      <c r="I613" s="19"/>
      <c r="J613" s="17"/>
      <c r="R613" s="230" t="s">
        <v>68</v>
      </c>
      <c r="S613" s="230"/>
    </row>
    <row r="614" spans="1:22" ht="15.75">
      <c r="A614" s="227" t="s">
        <v>56</v>
      </c>
      <c r="B614" s="227"/>
      <c r="C614" s="227"/>
      <c r="D614" s="227"/>
      <c r="E614" s="227"/>
      <c r="F614" s="227"/>
      <c r="G614" s="227"/>
      <c r="H614" s="9"/>
      <c r="I614" s="19"/>
      <c r="J614" s="17"/>
      <c r="R614" s="29" t="s">
        <v>63</v>
      </c>
    </row>
    <row r="615" spans="1:22" ht="20.25">
      <c r="A615" s="231" t="s">
        <v>76</v>
      </c>
      <c r="B615" s="231"/>
      <c r="C615" s="231"/>
      <c r="D615" s="231"/>
      <c r="E615" s="231"/>
      <c r="F615" s="231"/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</row>
    <row r="616" spans="1:22" ht="18.75">
      <c r="A616" s="232" t="s">
        <v>302</v>
      </c>
      <c r="B616" s="232"/>
      <c r="C616" s="232"/>
      <c r="D616" s="232"/>
      <c r="E616" s="232"/>
      <c r="F616" s="232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</row>
    <row r="617" spans="1:22">
      <c r="A617" s="225" t="s">
        <v>0</v>
      </c>
      <c r="B617" s="226" t="s">
        <v>1</v>
      </c>
      <c r="C617" s="226" t="s">
        <v>2</v>
      </c>
      <c r="D617" s="226" t="s">
        <v>3</v>
      </c>
      <c r="E617" s="226" t="s">
        <v>20</v>
      </c>
      <c r="F617" s="226"/>
      <c r="G617" s="226"/>
      <c r="H617" s="226"/>
      <c r="I617" s="226"/>
      <c r="J617" s="226"/>
      <c r="K617" s="226"/>
      <c r="L617" s="226"/>
      <c r="M617" s="233" t="s">
        <v>9</v>
      </c>
      <c r="N617" s="233" t="s">
        <v>11</v>
      </c>
      <c r="O617" s="226" t="s">
        <v>12</v>
      </c>
      <c r="P617" s="234" t="s">
        <v>13</v>
      </c>
      <c r="Q617" s="235"/>
      <c r="R617" s="236"/>
      <c r="S617" s="226" t="s">
        <v>15</v>
      </c>
      <c r="T617" s="218" t="s">
        <v>57</v>
      </c>
    </row>
    <row r="618" spans="1:22">
      <c r="A618" s="225"/>
      <c r="B618" s="226"/>
      <c r="C618" s="226"/>
      <c r="D618" s="226"/>
      <c r="E618" s="221" t="s">
        <v>4</v>
      </c>
      <c r="F618" s="222" t="s">
        <v>5</v>
      </c>
      <c r="G618" s="223" t="s">
        <v>6</v>
      </c>
      <c r="H618" s="223"/>
      <c r="I618" s="223"/>
      <c r="J618" s="223"/>
      <c r="K618" s="224" t="s">
        <v>7</v>
      </c>
      <c r="L618" s="224" t="s">
        <v>8</v>
      </c>
      <c r="M618" s="233"/>
      <c r="N618" s="233"/>
      <c r="O618" s="226"/>
      <c r="P618" s="225" t="s">
        <v>10</v>
      </c>
      <c r="Q618" s="226" t="s">
        <v>85</v>
      </c>
      <c r="R618" s="225" t="s">
        <v>14</v>
      </c>
      <c r="S618" s="226"/>
      <c r="T618" s="219"/>
    </row>
    <row r="619" spans="1:22" ht="63">
      <c r="A619" s="225"/>
      <c r="B619" s="226"/>
      <c r="C619" s="226"/>
      <c r="D619" s="226"/>
      <c r="E619" s="221"/>
      <c r="F619" s="222"/>
      <c r="G619" s="170" t="s">
        <v>26</v>
      </c>
      <c r="H619" s="170" t="s">
        <v>86</v>
      </c>
      <c r="I619" s="20" t="s">
        <v>24</v>
      </c>
      <c r="J619" s="18" t="s">
        <v>25</v>
      </c>
      <c r="K619" s="224"/>
      <c r="L619" s="224"/>
      <c r="M619" s="233"/>
      <c r="N619" s="233"/>
      <c r="O619" s="226"/>
      <c r="P619" s="225"/>
      <c r="Q619" s="226"/>
      <c r="R619" s="225"/>
      <c r="S619" s="226"/>
      <c r="T619" s="220"/>
    </row>
    <row r="620" spans="1:22">
      <c r="A620" s="4" t="s">
        <v>16</v>
      </c>
      <c r="B620" s="4" t="s">
        <v>17</v>
      </c>
      <c r="C620" s="4" t="s">
        <v>18</v>
      </c>
      <c r="D620" s="4" t="s">
        <v>19</v>
      </c>
      <c r="E620" s="13">
        <v>1</v>
      </c>
      <c r="F620" s="13">
        <v>2</v>
      </c>
      <c r="G620" s="13">
        <v>3</v>
      </c>
      <c r="H620" s="13">
        <v>4</v>
      </c>
      <c r="I620" s="13">
        <v>5</v>
      </c>
      <c r="J620" s="23">
        <v>6</v>
      </c>
      <c r="K620" s="4">
        <v>7</v>
      </c>
      <c r="L620" s="4">
        <v>8</v>
      </c>
      <c r="M620" s="4">
        <v>9</v>
      </c>
      <c r="N620" s="4">
        <v>10</v>
      </c>
      <c r="O620" s="30" t="s">
        <v>87</v>
      </c>
      <c r="P620" s="30">
        <v>12</v>
      </c>
      <c r="Q620" s="30">
        <v>13</v>
      </c>
      <c r="R620" s="30">
        <v>14</v>
      </c>
      <c r="S620" s="30" t="s">
        <v>88</v>
      </c>
      <c r="T620" s="2"/>
    </row>
    <row r="621" spans="1:22" ht="17.25" customHeight="1">
      <c r="A621" s="21">
        <v>1</v>
      </c>
      <c r="B621" s="39" t="s">
        <v>89</v>
      </c>
      <c r="C621" s="42" t="s">
        <v>60</v>
      </c>
      <c r="D621" s="46" t="s">
        <v>61</v>
      </c>
      <c r="E621" s="47">
        <v>5.0199999999999996</v>
      </c>
      <c r="F621" s="47">
        <v>0.35</v>
      </c>
      <c r="G621" s="25"/>
      <c r="H621" s="22"/>
      <c r="I621" s="48">
        <f>(E621+F621+G621)*24/100</f>
        <v>1.2887999999999999</v>
      </c>
      <c r="J621" s="49">
        <f>30/100*(E621+F621+G621)</f>
        <v>1.6109999999999998</v>
      </c>
      <c r="K621" s="50">
        <f>E621+F621+G621+H621+I621+J621</f>
        <v>8.2698</v>
      </c>
      <c r="L621" s="51">
        <f>K621*1490000</f>
        <v>12322002</v>
      </c>
      <c r="M621" s="52"/>
      <c r="N621" s="52"/>
      <c r="O621" s="51">
        <f>L621-M621+N621</f>
        <v>12322002</v>
      </c>
      <c r="P621" s="53">
        <f>((E621+F621+G621+I621)*1490000-M621)*9.5%</f>
        <v>942553.14</v>
      </c>
      <c r="Q621" s="54"/>
      <c r="R621" s="53">
        <f>P621+Q621</f>
        <v>942553.14</v>
      </c>
      <c r="S621" s="53">
        <f>O621-R621</f>
        <v>11379448.859999999</v>
      </c>
      <c r="T621" s="41"/>
    </row>
    <row r="622" spans="1:22" ht="17.25" customHeight="1">
      <c r="A622" s="21">
        <v>2</v>
      </c>
      <c r="B622" s="39" t="s">
        <v>21</v>
      </c>
      <c r="C622" s="40" t="s">
        <v>28</v>
      </c>
      <c r="D622" s="55" t="s">
        <v>27</v>
      </c>
      <c r="E622" s="24">
        <v>4.9800000000000004</v>
      </c>
      <c r="F622" s="56"/>
      <c r="G622" s="57">
        <f>E622*7%</f>
        <v>0.34860000000000008</v>
      </c>
      <c r="H622" s="10"/>
      <c r="I622" s="48">
        <f>(E622+F622+G622)*26/100</f>
        <v>1.3854360000000003</v>
      </c>
      <c r="J622" s="49">
        <f>30/100*(E622+F622+G622)</f>
        <v>1.5985800000000001</v>
      </c>
      <c r="K622" s="50">
        <f>E622+F622+G622+H622+I622+J622</f>
        <v>8.312616000000002</v>
      </c>
      <c r="L622" s="51">
        <f>K622*1490000</f>
        <v>12385797.840000004</v>
      </c>
      <c r="M622" s="58"/>
      <c r="N622" s="58"/>
      <c r="O622" s="51">
        <f>L622-M622+N622</f>
        <v>12385797.840000004</v>
      </c>
      <c r="P622" s="53">
        <f>((E622+F622+G622+I622)*1490000-M622)*10.5%</f>
        <v>1050410.9321999999</v>
      </c>
      <c r="Q622" s="54"/>
      <c r="R622" s="53">
        <f t="shared" ref="R622:R657" si="274">P622+Q622</f>
        <v>1050410.9321999999</v>
      </c>
      <c r="S622" s="53">
        <f t="shared" ref="S622" si="275">O622-R622</f>
        <v>11335386.907800004</v>
      </c>
      <c r="T622" s="59">
        <v>7.0000000000000007E-2</v>
      </c>
    </row>
    <row r="623" spans="1:22" ht="17.25" customHeight="1">
      <c r="A623" s="21">
        <v>3</v>
      </c>
      <c r="B623" s="39" t="s">
        <v>22</v>
      </c>
      <c r="C623" s="40" t="s">
        <v>30</v>
      </c>
      <c r="D623" s="55" t="s">
        <v>90</v>
      </c>
      <c r="E623" s="24">
        <v>4.8899999999999997</v>
      </c>
      <c r="F623" s="47">
        <v>0.15</v>
      </c>
      <c r="G623" s="57">
        <f>E623*5%</f>
        <v>0.2445</v>
      </c>
      <c r="H623" s="10"/>
      <c r="I623" s="48">
        <f>(E623+F623+G623)*31/100</f>
        <v>1.6381950000000001</v>
      </c>
      <c r="J623" s="49">
        <f>30/100*(E623+F623+G623)</f>
        <v>1.58535</v>
      </c>
      <c r="K623" s="50">
        <f t="shared" ref="K623:K647" si="276">E623+F623+G623+H623+I623+J623</f>
        <v>8.508045000000001</v>
      </c>
      <c r="L623" s="51">
        <f t="shared" ref="L623:L647" si="277">K623*1490000</f>
        <v>12676987.050000001</v>
      </c>
      <c r="M623" s="58"/>
      <c r="N623" s="58"/>
      <c r="O623" s="51">
        <f t="shared" ref="O623:O640" si="278">L623-M623+N623</f>
        <v>12676987.050000001</v>
      </c>
      <c r="P623" s="53">
        <f t="shared" ref="P623:P627" si="279">((E623+F623+G623+I623)*1490000-M623)*10.5%</f>
        <v>1083055.6327500001</v>
      </c>
      <c r="Q623" s="54"/>
      <c r="R623" s="53">
        <f t="shared" si="274"/>
        <v>1083055.6327500001</v>
      </c>
      <c r="S623" s="53">
        <f>O623-R623</f>
        <v>11593931.41725</v>
      </c>
      <c r="T623" s="59">
        <v>0.05</v>
      </c>
      <c r="V623" s="8"/>
    </row>
    <row r="624" spans="1:22" ht="17.25" customHeight="1">
      <c r="A624" s="21">
        <v>4</v>
      </c>
      <c r="B624" s="39" t="s">
        <v>21</v>
      </c>
      <c r="C624" s="40" t="s">
        <v>32</v>
      </c>
      <c r="D624" s="55" t="s">
        <v>29</v>
      </c>
      <c r="E624" s="24">
        <v>4.9800000000000004</v>
      </c>
      <c r="F624" s="47">
        <v>0.2</v>
      </c>
      <c r="G624" s="57">
        <f>E624*5%</f>
        <v>0.24900000000000003</v>
      </c>
      <c r="H624" s="10"/>
      <c r="I624" s="48">
        <f>(E624+F624+G624)*23%</f>
        <v>1.2486700000000002</v>
      </c>
      <c r="J624" s="49">
        <f t="shared" ref="J624" si="280">30/100*(E624+F624+G624)</f>
        <v>1.6287</v>
      </c>
      <c r="K624" s="50">
        <f t="shared" si="276"/>
        <v>8.3063700000000011</v>
      </c>
      <c r="L624" s="51">
        <f t="shared" si="277"/>
        <v>12376491.300000003</v>
      </c>
      <c r="M624" s="58"/>
      <c r="N624" s="58"/>
      <c r="O624" s="51">
        <f t="shared" si="278"/>
        <v>12376491.300000003</v>
      </c>
      <c r="P624" s="53">
        <f t="shared" si="279"/>
        <v>1044721.4715</v>
      </c>
      <c r="Q624" s="54"/>
      <c r="R624" s="53">
        <f t="shared" si="274"/>
        <v>1044721.4715</v>
      </c>
      <c r="S624" s="53">
        <f t="shared" ref="S624" si="281">O624-R624</f>
        <v>11331769.828500003</v>
      </c>
      <c r="T624" s="59">
        <v>0.05</v>
      </c>
      <c r="V624" s="8"/>
    </row>
    <row r="625" spans="1:22" ht="17.25" customHeight="1">
      <c r="A625" s="21">
        <v>5</v>
      </c>
      <c r="B625" s="39" t="s">
        <v>21</v>
      </c>
      <c r="C625" s="40" t="s">
        <v>82</v>
      </c>
      <c r="D625" s="55" t="s">
        <v>29</v>
      </c>
      <c r="E625" s="24">
        <v>4.9800000000000004</v>
      </c>
      <c r="F625" s="47">
        <v>0.2</v>
      </c>
      <c r="G625" s="57">
        <f>E625*7%</f>
        <v>0.34860000000000008</v>
      </c>
      <c r="H625" s="10"/>
      <c r="I625" s="48">
        <f>(E625+F625+G625)*27%</f>
        <v>1.4927220000000003</v>
      </c>
      <c r="J625" s="49">
        <f>30/100*(E625+F625+G625)</f>
        <v>1.6585800000000002</v>
      </c>
      <c r="K625" s="50">
        <f t="shared" si="276"/>
        <v>8.679902000000002</v>
      </c>
      <c r="L625" s="51">
        <f t="shared" si="277"/>
        <v>12933053.980000002</v>
      </c>
      <c r="M625" s="58"/>
      <c r="N625" s="58"/>
      <c r="O625" s="51">
        <f t="shared" si="278"/>
        <v>12933053.980000002</v>
      </c>
      <c r="P625" s="53">
        <f t="shared" si="279"/>
        <v>1098485.8269</v>
      </c>
      <c r="Q625" s="54"/>
      <c r="R625" s="53">
        <f t="shared" si="274"/>
        <v>1098485.8269</v>
      </c>
      <c r="S625" s="53">
        <f>O625-R625</f>
        <v>11834568.153100003</v>
      </c>
      <c r="T625" s="59">
        <v>7.0000000000000007E-2</v>
      </c>
      <c r="V625" s="8"/>
    </row>
    <row r="626" spans="1:22" ht="17.25" customHeight="1">
      <c r="A626" s="21">
        <v>6</v>
      </c>
      <c r="B626" s="39" t="s">
        <v>21</v>
      </c>
      <c r="C626" s="40" t="s">
        <v>84</v>
      </c>
      <c r="D626" s="55" t="s">
        <v>62</v>
      </c>
      <c r="E626" s="24">
        <v>4.9800000000000004</v>
      </c>
      <c r="F626" s="47">
        <v>0.25</v>
      </c>
      <c r="G626" s="14"/>
      <c r="H626" s="10"/>
      <c r="I626" s="48">
        <f>(E626+F626+G626)*22%</f>
        <v>1.1506000000000001</v>
      </c>
      <c r="J626" s="49">
        <f t="shared" ref="J626" si="282">30/100*(E626+F626+G626)</f>
        <v>1.5690000000000002</v>
      </c>
      <c r="K626" s="50">
        <f t="shared" si="276"/>
        <v>7.9496000000000002</v>
      </c>
      <c r="L626" s="51">
        <f t="shared" si="277"/>
        <v>11844904</v>
      </c>
      <c r="M626" s="58"/>
      <c r="N626" s="58"/>
      <c r="O626" s="51">
        <f t="shared" si="278"/>
        <v>11844904</v>
      </c>
      <c r="P626" s="53">
        <f t="shared" si="279"/>
        <v>998244.87</v>
      </c>
      <c r="Q626" s="54"/>
      <c r="R626" s="53">
        <f t="shared" si="274"/>
        <v>998244.87</v>
      </c>
      <c r="S626" s="53">
        <f t="shared" ref="S626" si="283">O626-R626</f>
        <v>10846659.130000001</v>
      </c>
      <c r="T626" s="41"/>
      <c r="V626" s="8"/>
    </row>
    <row r="627" spans="1:22" ht="17.25" customHeight="1">
      <c r="A627" s="21">
        <v>7</v>
      </c>
      <c r="B627" s="39" t="s">
        <v>22</v>
      </c>
      <c r="C627" s="42" t="s">
        <v>31</v>
      </c>
      <c r="D627" s="55" t="s">
        <v>27</v>
      </c>
      <c r="E627" s="24">
        <v>4.8899999999999997</v>
      </c>
      <c r="F627" s="47"/>
      <c r="G627" s="57"/>
      <c r="H627" s="10"/>
      <c r="I627" s="48">
        <f>(E627+F627+G627)*27/100</f>
        <v>1.3203</v>
      </c>
      <c r="J627" s="49">
        <f>30/100*(E627+F627+G627)</f>
        <v>1.4669999999999999</v>
      </c>
      <c r="K627" s="50">
        <f t="shared" si="276"/>
        <v>7.6772999999999998</v>
      </c>
      <c r="L627" s="51">
        <f t="shared" si="277"/>
        <v>11439177</v>
      </c>
      <c r="M627" s="58"/>
      <c r="N627" s="58"/>
      <c r="O627" s="51">
        <f t="shared" si="278"/>
        <v>11439177</v>
      </c>
      <c r="P627" s="53">
        <f t="shared" si="279"/>
        <v>971601.43499999994</v>
      </c>
      <c r="Q627" s="54"/>
      <c r="R627" s="53">
        <f t="shared" si="274"/>
        <v>971601.43499999994</v>
      </c>
      <c r="S627" s="53">
        <f>O627-R627</f>
        <v>10467575.564999999</v>
      </c>
      <c r="T627" s="41"/>
      <c r="V627" s="8"/>
    </row>
    <row r="628" spans="1:22" ht="17.25" customHeight="1">
      <c r="A628" s="21">
        <v>8</v>
      </c>
      <c r="B628" s="39" t="s">
        <v>21</v>
      </c>
      <c r="C628" s="26" t="s">
        <v>70</v>
      </c>
      <c r="D628" s="55" t="s">
        <v>27</v>
      </c>
      <c r="E628" s="24">
        <v>4.9800000000000004</v>
      </c>
      <c r="F628" s="47"/>
      <c r="G628" s="14"/>
      <c r="H628" s="10"/>
      <c r="I628" s="48">
        <f>(E628+F628+G628)*23/100</f>
        <v>1.1454</v>
      </c>
      <c r="J628" s="49">
        <f t="shared" ref="J628:J630" si="284">30/100*(E628+F628+G628)</f>
        <v>1.494</v>
      </c>
      <c r="K628" s="50">
        <f t="shared" si="276"/>
        <v>7.6194000000000006</v>
      </c>
      <c r="L628" s="51">
        <f t="shared" si="277"/>
        <v>11352906</v>
      </c>
      <c r="M628" s="58"/>
      <c r="N628" s="58"/>
      <c r="O628" s="51">
        <f t="shared" si="278"/>
        <v>11352906</v>
      </c>
      <c r="P628" s="53">
        <f>((E628+F628+G628+I628)*1490000-M628)*10.5%</f>
        <v>958318.83000000019</v>
      </c>
      <c r="Q628" s="54"/>
      <c r="R628" s="53">
        <f t="shared" si="274"/>
        <v>958318.83000000019</v>
      </c>
      <c r="S628" s="53">
        <f>O628-R628</f>
        <v>10394587.17</v>
      </c>
      <c r="T628" s="41"/>
      <c r="V628" s="8"/>
    </row>
    <row r="629" spans="1:22" ht="17.25" customHeight="1">
      <c r="A629" s="21">
        <v>9</v>
      </c>
      <c r="B629" s="39" t="s">
        <v>21</v>
      </c>
      <c r="C629" s="26" t="s">
        <v>33</v>
      </c>
      <c r="D629" s="55" t="s">
        <v>29</v>
      </c>
      <c r="E629" s="24">
        <v>4.6500000000000004</v>
      </c>
      <c r="F629" s="47">
        <v>0.2</v>
      </c>
      <c r="G629" s="14"/>
      <c r="H629" s="10"/>
      <c r="I629" s="48">
        <f>(E629+F629+G629)*22/100</f>
        <v>1.0670000000000002</v>
      </c>
      <c r="J629" s="49">
        <f t="shared" si="284"/>
        <v>1.4550000000000001</v>
      </c>
      <c r="K629" s="50">
        <f t="shared" si="276"/>
        <v>7.3720000000000008</v>
      </c>
      <c r="L629" s="51">
        <f t="shared" si="277"/>
        <v>10984280.000000002</v>
      </c>
      <c r="M629" s="58"/>
      <c r="N629" s="58"/>
      <c r="O629" s="51">
        <f t="shared" si="278"/>
        <v>10984280.000000002</v>
      </c>
      <c r="P629" s="53">
        <f t="shared" ref="P629:P630" si="285">((E629+F629+G629+I629)*1490000-M629)*10.5%</f>
        <v>925714.65000000014</v>
      </c>
      <c r="Q629" s="54"/>
      <c r="R629" s="53">
        <f t="shared" si="274"/>
        <v>925714.65000000014</v>
      </c>
      <c r="S629" s="53">
        <f t="shared" ref="S629:S631" si="286">O629-R629</f>
        <v>10058565.350000001</v>
      </c>
      <c r="T629" s="41"/>
      <c r="V629" s="8"/>
    </row>
    <row r="630" spans="1:22" ht="17.25" customHeight="1">
      <c r="A630" s="21">
        <v>10</v>
      </c>
      <c r="B630" s="39" t="s">
        <v>21</v>
      </c>
      <c r="C630" s="26" t="s">
        <v>34</v>
      </c>
      <c r="D630" s="55" t="s">
        <v>27</v>
      </c>
      <c r="E630" s="24">
        <v>4.32</v>
      </c>
      <c r="F630" s="47"/>
      <c r="G630" s="14"/>
      <c r="H630" s="10"/>
      <c r="I630" s="48">
        <f>(E630+F630+G630)*19/100</f>
        <v>0.82080000000000009</v>
      </c>
      <c r="J630" s="49">
        <f t="shared" si="284"/>
        <v>1.296</v>
      </c>
      <c r="K630" s="50">
        <f t="shared" si="276"/>
        <v>6.4368000000000007</v>
      </c>
      <c r="L630" s="51">
        <f t="shared" si="277"/>
        <v>9590832.0000000019</v>
      </c>
      <c r="M630" s="58"/>
      <c r="N630" s="58"/>
      <c r="O630" s="51">
        <f t="shared" si="278"/>
        <v>9590832.0000000019</v>
      </c>
      <c r="P630" s="53">
        <f t="shared" si="285"/>
        <v>804278.16</v>
      </c>
      <c r="Q630" s="54"/>
      <c r="R630" s="53">
        <f t="shared" si="274"/>
        <v>804278.16</v>
      </c>
      <c r="S630" s="53">
        <f t="shared" si="286"/>
        <v>8786553.8400000017</v>
      </c>
      <c r="T630" s="41"/>
      <c r="V630" s="8"/>
    </row>
    <row r="631" spans="1:22" ht="17.25" customHeight="1">
      <c r="A631" s="21">
        <v>11</v>
      </c>
      <c r="B631" s="39" t="s">
        <v>21</v>
      </c>
      <c r="C631" s="42" t="s">
        <v>36</v>
      </c>
      <c r="D631" s="55" t="s">
        <v>29</v>
      </c>
      <c r="E631" s="24">
        <v>4.32</v>
      </c>
      <c r="F631" s="47">
        <v>0.2</v>
      </c>
      <c r="G631" s="33"/>
      <c r="H631" s="35"/>
      <c r="I631" s="48">
        <f>(E631+F631+G631)*20%</f>
        <v>0.90400000000000014</v>
      </c>
      <c r="J631" s="49">
        <f>30/100*(E631+F631+G631)</f>
        <v>1.3560000000000001</v>
      </c>
      <c r="K631" s="50">
        <f t="shared" si="276"/>
        <v>6.78</v>
      </c>
      <c r="L631" s="51">
        <f t="shared" si="277"/>
        <v>10102200</v>
      </c>
      <c r="M631" s="58"/>
      <c r="N631" s="58"/>
      <c r="O631" s="51">
        <f t="shared" si="278"/>
        <v>10102200</v>
      </c>
      <c r="P631" s="53">
        <f>((E631+F631+G631+I631)*1490000-M631)*10.5%</f>
        <v>848584.8</v>
      </c>
      <c r="Q631" s="54"/>
      <c r="R631" s="53">
        <f t="shared" si="274"/>
        <v>848584.8</v>
      </c>
      <c r="S631" s="53">
        <f t="shared" si="286"/>
        <v>9253615.1999999993</v>
      </c>
      <c r="T631" s="151"/>
      <c r="V631" s="8"/>
    </row>
    <row r="632" spans="1:22" ht="17.25" customHeight="1">
      <c r="A632" s="21">
        <v>12</v>
      </c>
      <c r="B632" s="39" t="s">
        <v>64</v>
      </c>
      <c r="C632" s="26" t="s">
        <v>59</v>
      </c>
      <c r="D632" s="55" t="s">
        <v>35</v>
      </c>
      <c r="E632" s="24">
        <v>4.2699999999999996</v>
      </c>
      <c r="F632" s="47">
        <v>0.2</v>
      </c>
      <c r="G632" s="33"/>
      <c r="H632" s="34">
        <v>0.1</v>
      </c>
      <c r="I632" s="48"/>
      <c r="J632" s="49"/>
      <c r="K632" s="50">
        <f t="shared" si="276"/>
        <v>4.5699999999999994</v>
      </c>
      <c r="L632" s="51">
        <f t="shared" si="277"/>
        <v>6809299.9999999991</v>
      </c>
      <c r="M632" s="58"/>
      <c r="N632" s="58"/>
      <c r="O632" s="51">
        <f t="shared" si="278"/>
        <v>6809299.9999999991</v>
      </c>
      <c r="P632" s="53">
        <f>((E632+F632+G632+I632)*1490000-M632)*10.5%</f>
        <v>699331.5</v>
      </c>
      <c r="Q632" s="54"/>
      <c r="R632" s="53">
        <f t="shared" si="274"/>
        <v>699331.5</v>
      </c>
      <c r="S632" s="53">
        <f>O632-R632</f>
        <v>6109968.4999999991</v>
      </c>
      <c r="T632" s="151"/>
      <c r="V632" s="8"/>
    </row>
    <row r="633" spans="1:22" ht="17.25" customHeight="1">
      <c r="A633" s="21">
        <v>13</v>
      </c>
      <c r="B633" s="39" t="s">
        <v>21</v>
      </c>
      <c r="C633" s="40" t="s">
        <v>69</v>
      </c>
      <c r="D633" s="55" t="s">
        <v>27</v>
      </c>
      <c r="E633" s="24">
        <v>4.6500000000000004</v>
      </c>
      <c r="F633" s="47"/>
      <c r="G633" s="33"/>
      <c r="H633" s="35"/>
      <c r="I633" s="48">
        <f>(E633+F633+G633)*20/100</f>
        <v>0.93</v>
      </c>
      <c r="J633" s="49">
        <f>30/100*(E633+F633+G633)</f>
        <v>1.395</v>
      </c>
      <c r="K633" s="50">
        <f t="shared" si="276"/>
        <v>6.9749999999999996</v>
      </c>
      <c r="L633" s="51">
        <f t="shared" si="277"/>
        <v>10392750</v>
      </c>
      <c r="M633" s="58"/>
      <c r="N633" s="58"/>
      <c r="O633" s="51">
        <f t="shared" si="278"/>
        <v>10392750</v>
      </c>
      <c r="P633" s="53">
        <f t="shared" ref="P633:P647" si="287">((E633+F633+G633+I633)*1490000-M633)*10.5%</f>
        <v>872991</v>
      </c>
      <c r="Q633" s="54"/>
      <c r="R633" s="53">
        <f t="shared" si="274"/>
        <v>872991</v>
      </c>
      <c r="S633" s="53">
        <f t="shared" ref="S633:S640" si="288">O633-R633</f>
        <v>9519759</v>
      </c>
      <c r="T633" s="150"/>
      <c r="V633" s="8"/>
    </row>
    <row r="634" spans="1:22" ht="17.25" customHeight="1">
      <c r="A634" s="21">
        <v>14</v>
      </c>
      <c r="B634" s="39" t="s">
        <v>21</v>
      </c>
      <c r="C634" s="40" t="s">
        <v>37</v>
      </c>
      <c r="D634" s="55" t="s">
        <v>27</v>
      </c>
      <c r="E634" s="24">
        <v>4.32</v>
      </c>
      <c r="F634" s="24"/>
      <c r="G634" s="33"/>
      <c r="H634" s="35"/>
      <c r="I634" s="48">
        <f>(E634+F634+G634)*20/100</f>
        <v>0.8640000000000001</v>
      </c>
      <c r="J634" s="49">
        <f>30/100*(E634+F634+G634)</f>
        <v>1.296</v>
      </c>
      <c r="K634" s="50">
        <f t="shared" si="276"/>
        <v>6.48</v>
      </c>
      <c r="L634" s="51">
        <f t="shared" si="277"/>
        <v>9655200</v>
      </c>
      <c r="M634" s="58"/>
      <c r="N634" s="58"/>
      <c r="O634" s="51">
        <f t="shared" si="278"/>
        <v>9655200</v>
      </c>
      <c r="P634" s="53">
        <f t="shared" si="287"/>
        <v>811036.79999999993</v>
      </c>
      <c r="Q634" s="54"/>
      <c r="R634" s="53">
        <f t="shared" si="274"/>
        <v>811036.79999999993</v>
      </c>
      <c r="S634" s="53">
        <f t="shared" si="288"/>
        <v>8844163.1999999993</v>
      </c>
      <c r="T634" s="2"/>
      <c r="V634" s="8"/>
    </row>
    <row r="635" spans="1:22" ht="17.25" customHeight="1">
      <c r="A635" s="21">
        <v>15</v>
      </c>
      <c r="B635" s="39" t="s">
        <v>21</v>
      </c>
      <c r="C635" s="40" t="s">
        <v>71</v>
      </c>
      <c r="D635" s="55" t="s">
        <v>27</v>
      </c>
      <c r="E635" s="24">
        <v>4.32</v>
      </c>
      <c r="F635" s="24"/>
      <c r="G635" s="33"/>
      <c r="H635" s="35"/>
      <c r="I635" s="48">
        <f>(E635+F635+G635)*20/100</f>
        <v>0.8640000000000001</v>
      </c>
      <c r="J635" s="49">
        <f t="shared" ref="J635:J637" si="289">30/100*(E635+F635+G635)</f>
        <v>1.296</v>
      </c>
      <c r="K635" s="50">
        <f t="shared" si="276"/>
        <v>6.48</v>
      </c>
      <c r="L635" s="51">
        <f t="shared" si="277"/>
        <v>9655200</v>
      </c>
      <c r="M635" s="58"/>
      <c r="N635" s="58"/>
      <c r="O635" s="51">
        <f t="shared" si="278"/>
        <v>9655200</v>
      </c>
      <c r="P635" s="53">
        <f t="shared" si="287"/>
        <v>811036.79999999993</v>
      </c>
      <c r="Q635" s="54"/>
      <c r="R635" s="53">
        <f t="shared" si="274"/>
        <v>811036.79999999993</v>
      </c>
      <c r="S635" s="53">
        <f t="shared" si="288"/>
        <v>8844163.1999999993</v>
      </c>
      <c r="T635" s="41" t="s">
        <v>321</v>
      </c>
      <c r="V635" s="8"/>
    </row>
    <row r="636" spans="1:22" ht="17.25" customHeight="1">
      <c r="A636" s="21">
        <v>16</v>
      </c>
      <c r="B636" s="39" t="s">
        <v>21</v>
      </c>
      <c r="C636" s="40" t="s">
        <v>38</v>
      </c>
      <c r="D636" s="55" t="s">
        <v>27</v>
      </c>
      <c r="E636" s="24">
        <v>4.32</v>
      </c>
      <c r="F636" s="24"/>
      <c r="G636" s="33"/>
      <c r="H636" s="35"/>
      <c r="I636" s="48">
        <f>(E636+F636+G636)*18%</f>
        <v>0.77760000000000007</v>
      </c>
      <c r="J636" s="49">
        <f t="shared" si="289"/>
        <v>1.296</v>
      </c>
      <c r="K636" s="50">
        <f t="shared" si="276"/>
        <v>6.3936000000000002</v>
      </c>
      <c r="L636" s="51">
        <f t="shared" si="277"/>
        <v>9526464</v>
      </c>
      <c r="M636" s="58"/>
      <c r="N636" s="58"/>
      <c r="O636" s="51">
        <f t="shared" si="278"/>
        <v>9526464</v>
      </c>
      <c r="P636" s="53">
        <f t="shared" si="287"/>
        <v>797519.52</v>
      </c>
      <c r="Q636" s="54"/>
      <c r="R636" s="53">
        <f t="shared" si="274"/>
        <v>797519.52</v>
      </c>
      <c r="S636" s="53">
        <f t="shared" si="288"/>
        <v>8728944.4800000004</v>
      </c>
      <c r="T636" s="41"/>
      <c r="V636" s="8"/>
    </row>
    <row r="637" spans="1:22" ht="17.25" customHeight="1">
      <c r="A637" s="21">
        <v>17</v>
      </c>
      <c r="B637" s="39" t="s">
        <v>21</v>
      </c>
      <c r="C637" s="40" t="s">
        <v>72</v>
      </c>
      <c r="D637" s="55" t="s">
        <v>27</v>
      </c>
      <c r="E637" s="24">
        <v>4.32</v>
      </c>
      <c r="F637" s="24"/>
      <c r="G637" s="33"/>
      <c r="H637" s="35"/>
      <c r="I637" s="48">
        <f>(E637+F637+G637)*18%</f>
        <v>0.77760000000000007</v>
      </c>
      <c r="J637" s="49">
        <f t="shared" si="289"/>
        <v>1.296</v>
      </c>
      <c r="K637" s="50">
        <f t="shared" si="276"/>
        <v>6.3936000000000002</v>
      </c>
      <c r="L637" s="51">
        <f t="shared" si="277"/>
        <v>9526464</v>
      </c>
      <c r="M637" s="58"/>
      <c r="N637" s="58"/>
      <c r="O637" s="51">
        <f t="shared" si="278"/>
        <v>9526464</v>
      </c>
      <c r="P637" s="53">
        <f t="shared" si="287"/>
        <v>797519.52</v>
      </c>
      <c r="Q637" s="54"/>
      <c r="R637" s="53">
        <f t="shared" si="274"/>
        <v>797519.52</v>
      </c>
      <c r="S637" s="53">
        <f t="shared" si="288"/>
        <v>8728944.4800000004</v>
      </c>
      <c r="T637" s="41"/>
      <c r="V637" s="8"/>
    </row>
    <row r="638" spans="1:22" ht="17.25" customHeight="1">
      <c r="A638" s="21">
        <v>18</v>
      </c>
      <c r="B638" s="39" t="s">
        <v>21</v>
      </c>
      <c r="C638" s="40" t="s">
        <v>91</v>
      </c>
      <c r="D638" s="55" t="s">
        <v>27</v>
      </c>
      <c r="E638" s="24">
        <v>4.6500000000000004</v>
      </c>
      <c r="F638" s="24">
        <v>0.15</v>
      </c>
      <c r="G638" s="60"/>
      <c r="H638" s="35"/>
      <c r="I638" s="48">
        <f>(E638+F638+G638)*20%</f>
        <v>0.96000000000000019</v>
      </c>
      <c r="J638" s="49">
        <f>30/100*(E638+F638+G638)</f>
        <v>1.4400000000000002</v>
      </c>
      <c r="K638" s="61">
        <f t="shared" si="276"/>
        <v>7.2000000000000011</v>
      </c>
      <c r="L638" s="62">
        <f t="shared" si="277"/>
        <v>10728000.000000002</v>
      </c>
      <c r="M638" s="63"/>
      <c r="N638" s="63"/>
      <c r="O638" s="62">
        <f t="shared" si="278"/>
        <v>10728000.000000002</v>
      </c>
      <c r="P638" s="64">
        <f t="shared" si="287"/>
        <v>901152.00000000012</v>
      </c>
      <c r="Q638" s="54"/>
      <c r="R638" s="64">
        <f t="shared" si="274"/>
        <v>901152.00000000012</v>
      </c>
      <c r="S638" s="64">
        <f t="shared" si="288"/>
        <v>9826848.0000000019</v>
      </c>
      <c r="T638" s="41" t="s">
        <v>323</v>
      </c>
      <c r="V638" s="8"/>
    </row>
    <row r="639" spans="1:22" ht="17.25" customHeight="1">
      <c r="A639" s="21">
        <v>19</v>
      </c>
      <c r="B639" s="39" t="s">
        <v>21</v>
      </c>
      <c r="C639" s="40" t="s">
        <v>39</v>
      </c>
      <c r="D639" s="55" t="s">
        <v>27</v>
      </c>
      <c r="E639" s="24">
        <v>4.32</v>
      </c>
      <c r="F639" s="24"/>
      <c r="G639" s="33"/>
      <c r="H639" s="36"/>
      <c r="I639" s="48">
        <f>(E639+F639+G639)*22%</f>
        <v>0.95040000000000002</v>
      </c>
      <c r="J639" s="49">
        <f>30/100*(E639+F639+G639)</f>
        <v>1.296</v>
      </c>
      <c r="K639" s="50">
        <f t="shared" si="276"/>
        <v>6.5664000000000007</v>
      </c>
      <c r="L639" s="51">
        <f t="shared" si="277"/>
        <v>9783936.0000000019</v>
      </c>
      <c r="M639" s="58"/>
      <c r="N639" s="58"/>
      <c r="O639" s="51">
        <f t="shared" si="278"/>
        <v>9783936.0000000019</v>
      </c>
      <c r="P639" s="53">
        <f t="shared" si="287"/>
        <v>824554.08000000007</v>
      </c>
      <c r="Q639" s="54"/>
      <c r="R639" s="53">
        <f t="shared" si="274"/>
        <v>824554.08000000007</v>
      </c>
      <c r="S639" s="53">
        <f t="shared" si="288"/>
        <v>8959381.9200000018</v>
      </c>
      <c r="T639" s="41"/>
      <c r="V639" s="8"/>
    </row>
    <row r="640" spans="1:22" ht="17.25" customHeight="1">
      <c r="A640" s="21">
        <v>20</v>
      </c>
      <c r="B640" s="39" t="s">
        <v>22</v>
      </c>
      <c r="C640" s="40" t="s">
        <v>40</v>
      </c>
      <c r="D640" s="55" t="s">
        <v>90</v>
      </c>
      <c r="E640" s="24">
        <v>3.96</v>
      </c>
      <c r="F640" s="24">
        <v>0.15</v>
      </c>
      <c r="G640" s="33"/>
      <c r="H640" s="36"/>
      <c r="I640" s="48">
        <f>(E640+F640+G640)*18/100</f>
        <v>0.73980000000000001</v>
      </c>
      <c r="J640" s="49">
        <f t="shared" ref="J640" si="290">30/100*(E640+F640+G640)</f>
        <v>1.2330000000000001</v>
      </c>
      <c r="K640" s="50">
        <f t="shared" si="276"/>
        <v>6.0828000000000007</v>
      </c>
      <c r="L640" s="51">
        <f t="shared" si="277"/>
        <v>9063372.0000000019</v>
      </c>
      <c r="M640" s="58"/>
      <c r="N640" s="58"/>
      <c r="O640" s="51">
        <f t="shared" si="278"/>
        <v>9063372.0000000019</v>
      </c>
      <c r="P640" s="53">
        <f t="shared" si="287"/>
        <v>758751.21</v>
      </c>
      <c r="Q640" s="54"/>
      <c r="R640" s="53">
        <f t="shared" si="274"/>
        <v>758751.21</v>
      </c>
      <c r="S640" s="53">
        <f t="shared" si="288"/>
        <v>8304620.7900000019</v>
      </c>
      <c r="T640" s="41"/>
      <c r="V640" s="8"/>
    </row>
    <row r="641" spans="1:22" ht="17.25" customHeight="1">
      <c r="A641" s="21">
        <v>21</v>
      </c>
      <c r="B641" s="39" t="s">
        <v>21</v>
      </c>
      <c r="C641" s="40" t="s">
        <v>73</v>
      </c>
      <c r="D641" s="55" t="s">
        <v>27</v>
      </c>
      <c r="E641" s="24">
        <v>3.99</v>
      </c>
      <c r="F641" s="24"/>
      <c r="G641" s="14"/>
      <c r="H641" s="10"/>
      <c r="I641" s="48">
        <f>(E641+F641+G641)*17%</f>
        <v>0.67830000000000013</v>
      </c>
      <c r="J641" s="49">
        <f>30/100*(E641+F641+G641)</f>
        <v>1.1970000000000001</v>
      </c>
      <c r="K641" s="50">
        <f t="shared" si="276"/>
        <v>5.8653000000000004</v>
      </c>
      <c r="L641" s="51">
        <f t="shared" si="277"/>
        <v>8739297</v>
      </c>
      <c r="M641" s="65"/>
      <c r="N641" s="65"/>
      <c r="O641" s="51">
        <f>L641-M641+N641</f>
        <v>8739297</v>
      </c>
      <c r="P641" s="53">
        <f t="shared" si="287"/>
        <v>730355.53500000003</v>
      </c>
      <c r="Q641" s="54"/>
      <c r="R641" s="53">
        <f t="shared" si="274"/>
        <v>730355.53500000003</v>
      </c>
      <c r="S641" s="53">
        <f>O641-R641-N641</f>
        <v>8008941.4649999999</v>
      </c>
      <c r="T641" s="41"/>
      <c r="V641" s="8"/>
    </row>
    <row r="642" spans="1:22" ht="17.25" customHeight="1">
      <c r="A642" s="21">
        <v>22</v>
      </c>
      <c r="B642" s="39" t="s">
        <v>21</v>
      </c>
      <c r="C642" s="40" t="s">
        <v>41</v>
      </c>
      <c r="D642" s="55" t="s">
        <v>27</v>
      </c>
      <c r="E642" s="24">
        <v>3.99</v>
      </c>
      <c r="F642" s="56"/>
      <c r="G642" s="14"/>
      <c r="H642" s="10"/>
      <c r="I642" s="48">
        <f>(E642+F642+G642)*17/100</f>
        <v>0.67830000000000001</v>
      </c>
      <c r="J642" s="49">
        <f t="shared" ref="J642:J647" si="291">30/100*(E642+F642+G642)</f>
        <v>1.1970000000000001</v>
      </c>
      <c r="K642" s="50">
        <f t="shared" si="276"/>
        <v>5.8653000000000004</v>
      </c>
      <c r="L642" s="51">
        <f t="shared" si="277"/>
        <v>8739297</v>
      </c>
      <c r="M642" s="58"/>
      <c r="N642" s="58"/>
      <c r="O642" s="51">
        <f t="shared" ref="O642:O647" si="292">L642-M642+N642</f>
        <v>8739297</v>
      </c>
      <c r="P642" s="53">
        <f t="shared" si="287"/>
        <v>730355.53500000003</v>
      </c>
      <c r="Q642" s="54"/>
      <c r="R642" s="53">
        <f t="shared" si="274"/>
        <v>730355.53500000003</v>
      </c>
      <c r="S642" s="53">
        <f t="shared" ref="S642:S645" si="293">O642-R642</f>
        <v>8008941.4649999999</v>
      </c>
      <c r="T642" s="41"/>
      <c r="V642" s="8"/>
    </row>
    <row r="643" spans="1:22" ht="17.25" customHeight="1">
      <c r="A643" s="21">
        <v>23</v>
      </c>
      <c r="B643" s="39" t="s">
        <v>21</v>
      </c>
      <c r="C643" s="40" t="s">
        <v>42</v>
      </c>
      <c r="D643" s="55" t="s">
        <v>27</v>
      </c>
      <c r="E643" s="24">
        <v>4.32</v>
      </c>
      <c r="F643" s="56"/>
      <c r="G643" s="14"/>
      <c r="H643" s="34">
        <v>0.1</v>
      </c>
      <c r="I643" s="48">
        <f>(E643+F643+G643)*17/100</f>
        <v>0.73439999999999994</v>
      </c>
      <c r="J643" s="49">
        <f t="shared" si="291"/>
        <v>1.296</v>
      </c>
      <c r="K643" s="50">
        <f t="shared" si="276"/>
        <v>6.4504000000000001</v>
      </c>
      <c r="L643" s="51">
        <f t="shared" si="277"/>
        <v>9611096</v>
      </c>
      <c r="M643" s="58"/>
      <c r="N643" s="58"/>
      <c r="O643" s="51">
        <f t="shared" si="292"/>
        <v>9611096</v>
      </c>
      <c r="P643" s="53">
        <f t="shared" si="287"/>
        <v>790760.88</v>
      </c>
      <c r="Q643" s="54"/>
      <c r="R643" s="53">
        <f t="shared" si="274"/>
        <v>790760.88</v>
      </c>
      <c r="S643" s="53">
        <f t="shared" si="293"/>
        <v>8820335.1199999992</v>
      </c>
      <c r="T643" s="41" t="s">
        <v>251</v>
      </c>
      <c r="V643" s="8"/>
    </row>
    <row r="644" spans="1:22" ht="17.25" customHeight="1">
      <c r="A644" s="21">
        <v>24</v>
      </c>
      <c r="B644" s="39" t="s">
        <v>21</v>
      </c>
      <c r="C644" s="26" t="s">
        <v>74</v>
      </c>
      <c r="D644" s="55" t="s">
        <v>27</v>
      </c>
      <c r="E644" s="24">
        <v>3.99</v>
      </c>
      <c r="F644" s="56"/>
      <c r="G644" s="14"/>
      <c r="H644" s="10"/>
      <c r="I644" s="66">
        <f>(E644+F644+G644)*16/100</f>
        <v>0.63840000000000008</v>
      </c>
      <c r="J644" s="67">
        <f t="shared" si="291"/>
        <v>1.1970000000000001</v>
      </c>
      <c r="K644" s="68">
        <f t="shared" si="276"/>
        <v>5.8254000000000001</v>
      </c>
      <c r="L644" s="69">
        <f t="shared" si="277"/>
        <v>8679846</v>
      </c>
      <c r="M644" s="70"/>
      <c r="N644" s="70"/>
      <c r="O644" s="69">
        <f t="shared" si="292"/>
        <v>8679846</v>
      </c>
      <c r="P644" s="71">
        <f t="shared" si="287"/>
        <v>724113.17999999993</v>
      </c>
      <c r="Q644" s="54"/>
      <c r="R644" s="71">
        <f t="shared" si="274"/>
        <v>724113.17999999993</v>
      </c>
      <c r="S644" s="71">
        <f t="shared" si="293"/>
        <v>7955732.8200000003</v>
      </c>
      <c r="T644" s="41"/>
      <c r="V644" s="8"/>
    </row>
    <row r="645" spans="1:22" ht="16.5" customHeight="1">
      <c r="A645" s="21">
        <v>25</v>
      </c>
      <c r="B645" s="72" t="s">
        <v>21</v>
      </c>
      <c r="C645" s="26" t="s">
        <v>43</v>
      </c>
      <c r="D645" s="55" t="s">
        <v>27</v>
      </c>
      <c r="E645" s="24">
        <v>3.99</v>
      </c>
      <c r="F645" s="56"/>
      <c r="G645" s="14"/>
      <c r="H645" s="10"/>
      <c r="I645" s="66">
        <f>(E645+F645+G645)*16/100</f>
        <v>0.63840000000000008</v>
      </c>
      <c r="J645" s="67">
        <f t="shared" si="291"/>
        <v>1.1970000000000001</v>
      </c>
      <c r="K645" s="68">
        <f t="shared" si="276"/>
        <v>5.8254000000000001</v>
      </c>
      <c r="L645" s="69">
        <f t="shared" si="277"/>
        <v>8679846</v>
      </c>
      <c r="M645" s="70"/>
      <c r="N645" s="70"/>
      <c r="O645" s="69">
        <f t="shared" si="292"/>
        <v>8679846</v>
      </c>
      <c r="P645" s="71">
        <f t="shared" si="287"/>
        <v>724113.17999999993</v>
      </c>
      <c r="Q645" s="54"/>
      <c r="R645" s="71">
        <f t="shared" si="274"/>
        <v>724113.17999999993</v>
      </c>
      <c r="S645" s="71">
        <f t="shared" si="293"/>
        <v>7955732.8200000003</v>
      </c>
      <c r="T645" s="41"/>
      <c r="V645" s="8"/>
    </row>
    <row r="646" spans="1:22" ht="16.5" customHeight="1">
      <c r="A646" s="21">
        <v>26</v>
      </c>
      <c r="B646" s="39" t="s">
        <v>21</v>
      </c>
      <c r="C646" s="26" t="s">
        <v>58</v>
      </c>
      <c r="D646" s="55" t="s">
        <v>27</v>
      </c>
      <c r="E646" s="24">
        <v>3.66</v>
      </c>
      <c r="F646" s="56"/>
      <c r="G646" s="14"/>
      <c r="H646" s="10"/>
      <c r="I646" s="48">
        <f>(E646+F646+G646)*12%</f>
        <v>0.43919999999999998</v>
      </c>
      <c r="J646" s="49">
        <f t="shared" si="291"/>
        <v>1.0980000000000001</v>
      </c>
      <c r="K646" s="50">
        <f t="shared" si="276"/>
        <v>5.1971999999999996</v>
      </c>
      <c r="L646" s="51">
        <f t="shared" si="277"/>
        <v>7743827.9999999991</v>
      </c>
      <c r="M646" s="58"/>
      <c r="N646" s="58"/>
      <c r="O646" s="51">
        <f t="shared" si="292"/>
        <v>7743827.9999999991</v>
      </c>
      <c r="P646" s="53">
        <f t="shared" si="287"/>
        <v>641319.84</v>
      </c>
      <c r="Q646" s="54"/>
      <c r="R646" s="53">
        <f t="shared" si="274"/>
        <v>641319.84</v>
      </c>
      <c r="S646" s="53">
        <f>O646-R646</f>
        <v>7102508.1599999992</v>
      </c>
      <c r="T646" s="41" t="s">
        <v>323</v>
      </c>
      <c r="V646" s="8"/>
    </row>
    <row r="647" spans="1:22" ht="16.5" customHeight="1">
      <c r="A647" s="21">
        <v>27</v>
      </c>
      <c r="B647" s="39" t="s">
        <v>21</v>
      </c>
      <c r="C647" s="40" t="s">
        <v>44</v>
      </c>
      <c r="D647" s="55" t="s">
        <v>27</v>
      </c>
      <c r="E647" s="24">
        <v>3.99</v>
      </c>
      <c r="F647" s="56"/>
      <c r="G647" s="14"/>
      <c r="H647" s="10"/>
      <c r="I647" s="48">
        <f>(E647+F647+G647)*15/100</f>
        <v>0.59850000000000003</v>
      </c>
      <c r="J647" s="49">
        <f t="shared" si="291"/>
        <v>1.1970000000000001</v>
      </c>
      <c r="K647" s="50">
        <f t="shared" si="276"/>
        <v>5.7854999999999999</v>
      </c>
      <c r="L647" s="51">
        <f t="shared" si="277"/>
        <v>8620395</v>
      </c>
      <c r="M647" s="58"/>
      <c r="N647" s="58"/>
      <c r="O647" s="51">
        <f t="shared" si="292"/>
        <v>8620395</v>
      </c>
      <c r="P647" s="53">
        <f t="shared" si="287"/>
        <v>717870.82499999995</v>
      </c>
      <c r="Q647" s="54"/>
      <c r="R647" s="53">
        <f t="shared" si="274"/>
        <v>717870.82499999995</v>
      </c>
      <c r="S647" s="53">
        <f t="shared" ref="S647" si="294">O647-R647</f>
        <v>7902524.1749999998</v>
      </c>
      <c r="T647" s="41"/>
      <c r="V647" s="8"/>
    </row>
    <row r="648" spans="1:22" ht="16.5" customHeight="1">
      <c r="A648" s="21">
        <v>28</v>
      </c>
      <c r="B648" s="39" t="s">
        <v>53</v>
      </c>
      <c r="C648" s="73" t="s">
        <v>75</v>
      </c>
      <c r="D648" s="55" t="s">
        <v>83</v>
      </c>
      <c r="E648" s="74">
        <v>3.46</v>
      </c>
      <c r="F648" s="56">
        <v>0.15</v>
      </c>
      <c r="G648" s="14"/>
      <c r="H648" s="10"/>
      <c r="I648" s="48"/>
      <c r="J648" s="49"/>
      <c r="K648" s="50">
        <f>E648+F648+G648+H648+I648+J648</f>
        <v>3.61</v>
      </c>
      <c r="L648" s="51">
        <f>K648*1490000</f>
        <v>5378900</v>
      </c>
      <c r="M648" s="65"/>
      <c r="N648" s="75"/>
      <c r="O648" s="51">
        <f>L648-M648+N648</f>
        <v>5378900</v>
      </c>
      <c r="P648" s="53">
        <f>((E648+F648+G648+I648)*1490000)*10.5%</f>
        <v>564784.5</v>
      </c>
      <c r="Q648" s="54"/>
      <c r="R648" s="53">
        <f t="shared" si="274"/>
        <v>564784.5</v>
      </c>
      <c r="S648" s="53">
        <f>O648-R648</f>
        <v>4814115.5</v>
      </c>
      <c r="T648" s="41"/>
      <c r="V648" s="8"/>
    </row>
    <row r="649" spans="1:22" ht="16.5" customHeight="1">
      <c r="A649" s="21">
        <v>29</v>
      </c>
      <c r="B649" s="39" t="s">
        <v>89</v>
      </c>
      <c r="C649" s="42" t="s">
        <v>46</v>
      </c>
      <c r="D649" s="55" t="s">
        <v>27</v>
      </c>
      <c r="E649" s="24">
        <v>4</v>
      </c>
      <c r="F649" s="24"/>
      <c r="G649" s="14"/>
      <c r="H649" s="10"/>
      <c r="I649" s="48">
        <f>(E649+F649+G649)*14%</f>
        <v>0.56000000000000005</v>
      </c>
      <c r="J649" s="49">
        <f t="shared" ref="J649:J650" si="295">30/100*(E649+F649+G649)</f>
        <v>1.2</v>
      </c>
      <c r="K649" s="50">
        <f t="shared" ref="K649:K651" si="296">E649+F649+G649+H649+I649+J649</f>
        <v>5.7600000000000007</v>
      </c>
      <c r="L649" s="51">
        <f t="shared" ref="L649:L653" si="297">K649*1490000</f>
        <v>8582400.0000000019</v>
      </c>
      <c r="M649" s="58"/>
      <c r="N649" s="58"/>
      <c r="O649" s="51">
        <f t="shared" ref="O649:O657" si="298">L649-M649+N649</f>
        <v>8582400.0000000019</v>
      </c>
      <c r="P649" s="53">
        <f t="shared" ref="P649:P651" si="299">((E649+F649+G649+I649)*1490000-M649)*10.5%</f>
        <v>713412.00000000012</v>
      </c>
      <c r="Q649" s="54"/>
      <c r="R649" s="53">
        <f t="shared" si="274"/>
        <v>713412.00000000012</v>
      </c>
      <c r="S649" s="76">
        <f t="shared" ref="S649:S650" si="300">O649-R649</f>
        <v>7868988.0000000019</v>
      </c>
      <c r="T649" s="41" t="s">
        <v>321</v>
      </c>
      <c r="V649" s="8"/>
    </row>
    <row r="650" spans="1:22" ht="16.5" customHeight="1">
      <c r="A650" s="21">
        <v>30</v>
      </c>
      <c r="B650" s="39" t="s">
        <v>21</v>
      </c>
      <c r="C650" s="40" t="s">
        <v>47</v>
      </c>
      <c r="D650" s="55" t="s">
        <v>27</v>
      </c>
      <c r="E650" s="24">
        <v>3.99</v>
      </c>
      <c r="F650" s="24"/>
      <c r="G650" s="14"/>
      <c r="H650" s="10"/>
      <c r="I650" s="48">
        <f>(E650+F650+G650)*16%</f>
        <v>0.63840000000000008</v>
      </c>
      <c r="J650" s="49">
        <f t="shared" si="295"/>
        <v>1.1970000000000001</v>
      </c>
      <c r="K650" s="50">
        <f t="shared" si="296"/>
        <v>5.8254000000000001</v>
      </c>
      <c r="L650" s="51">
        <f t="shared" si="297"/>
        <v>8679846</v>
      </c>
      <c r="M650" s="53"/>
      <c r="N650" s="58"/>
      <c r="O650" s="51">
        <f t="shared" si="298"/>
        <v>8679846</v>
      </c>
      <c r="P650" s="53">
        <f t="shared" si="299"/>
        <v>724113.17999999993</v>
      </c>
      <c r="Q650" s="54"/>
      <c r="R650" s="53">
        <f t="shared" si="274"/>
        <v>724113.17999999993</v>
      </c>
      <c r="S650" s="76">
        <f t="shared" si="300"/>
        <v>7955732.8200000003</v>
      </c>
      <c r="T650" s="41"/>
      <c r="V650" s="8"/>
    </row>
    <row r="651" spans="1:22" ht="16.5" customHeight="1">
      <c r="A651" s="21">
        <v>31</v>
      </c>
      <c r="B651" s="39" t="s">
        <v>21</v>
      </c>
      <c r="C651" s="40" t="s">
        <v>48</v>
      </c>
      <c r="D651" s="55" t="s">
        <v>27</v>
      </c>
      <c r="E651" s="24">
        <v>3.99</v>
      </c>
      <c r="F651" s="24"/>
      <c r="G651" s="14"/>
      <c r="H651" s="10"/>
      <c r="I651" s="48">
        <f>(E651+F651+G651)*14%</f>
        <v>0.5586000000000001</v>
      </c>
      <c r="J651" s="49">
        <f>30/100*(E651+F651+G651)</f>
        <v>1.1970000000000001</v>
      </c>
      <c r="K651" s="50">
        <f t="shared" si="296"/>
        <v>5.7456000000000005</v>
      </c>
      <c r="L651" s="51">
        <f t="shared" si="297"/>
        <v>8560944</v>
      </c>
      <c r="M651" s="53"/>
      <c r="N651" s="58"/>
      <c r="O651" s="51">
        <f t="shared" si="298"/>
        <v>8560944</v>
      </c>
      <c r="P651" s="53">
        <f t="shared" si="299"/>
        <v>711628.47000000009</v>
      </c>
      <c r="Q651" s="54"/>
      <c r="R651" s="53">
        <f t="shared" si="274"/>
        <v>711628.47000000009</v>
      </c>
      <c r="S651" s="76">
        <f>O651-R651</f>
        <v>7849315.5300000003</v>
      </c>
      <c r="T651" s="41" t="s">
        <v>323</v>
      </c>
      <c r="V651" s="8"/>
    </row>
    <row r="652" spans="1:22" ht="16.5" customHeight="1">
      <c r="A652" s="21">
        <v>32</v>
      </c>
      <c r="B652" s="39" t="s">
        <v>21</v>
      </c>
      <c r="C652" s="40" t="s">
        <v>92</v>
      </c>
      <c r="D652" s="55" t="s">
        <v>27</v>
      </c>
      <c r="E652" s="24">
        <v>3.33</v>
      </c>
      <c r="F652" s="24"/>
      <c r="G652" s="14"/>
      <c r="H652" s="10"/>
      <c r="I652" s="48">
        <f>(E652+F652+G652)*10%</f>
        <v>0.33300000000000002</v>
      </c>
      <c r="J652" s="49">
        <f>30/100*(E652+F652+G652)</f>
        <v>0.999</v>
      </c>
      <c r="K652" s="50">
        <f>E652+F652+G652+H652+I652+J652</f>
        <v>4.6619999999999999</v>
      </c>
      <c r="L652" s="51">
        <f t="shared" si="297"/>
        <v>6946380</v>
      </c>
      <c r="M652" s="53"/>
      <c r="N652" s="53"/>
      <c r="O652" s="51">
        <f t="shared" si="298"/>
        <v>6946380</v>
      </c>
      <c r="P652" s="53">
        <f>((E652+F652+G652+I652)*1490000)*10.5%</f>
        <v>573076.35</v>
      </c>
      <c r="Q652" s="54"/>
      <c r="R652" s="53">
        <f t="shared" si="274"/>
        <v>573076.35</v>
      </c>
      <c r="S652" s="76">
        <f t="shared" ref="S652:S653" si="301">O652-R652</f>
        <v>6373303.6500000004</v>
      </c>
      <c r="T652" s="41"/>
      <c r="V652" s="8"/>
    </row>
    <row r="653" spans="1:22" ht="16.5" customHeight="1">
      <c r="A653" s="21">
        <v>33</v>
      </c>
      <c r="B653" s="39" t="s">
        <v>21</v>
      </c>
      <c r="C653" s="40" t="s">
        <v>93</v>
      </c>
      <c r="D653" s="55" t="s">
        <v>27</v>
      </c>
      <c r="E653" s="24">
        <v>3.66</v>
      </c>
      <c r="F653" s="24"/>
      <c r="G653" s="14"/>
      <c r="H653" s="10"/>
      <c r="I653" s="48">
        <f>(E653+F653+G653)*12%</f>
        <v>0.43919999999999998</v>
      </c>
      <c r="J653" s="49">
        <f>30/100*(E653+F653+G653)</f>
        <v>1.0980000000000001</v>
      </c>
      <c r="K653" s="50">
        <f>E653+F653+G653+H653+I653+J653</f>
        <v>5.1971999999999996</v>
      </c>
      <c r="L653" s="51">
        <f t="shared" si="297"/>
        <v>7743827.9999999991</v>
      </c>
      <c r="M653" s="53"/>
      <c r="N653" s="53"/>
      <c r="O653" s="51">
        <f t="shared" si="298"/>
        <v>7743827.9999999991</v>
      </c>
      <c r="P653" s="53">
        <f>((E653+F653+G653+I653)*1490000)*10.5%</f>
        <v>641319.84</v>
      </c>
      <c r="Q653" s="54"/>
      <c r="R653" s="53">
        <f t="shared" si="274"/>
        <v>641319.84</v>
      </c>
      <c r="S653" s="76">
        <f t="shared" si="301"/>
        <v>7102508.1599999992</v>
      </c>
      <c r="T653" s="41" t="s">
        <v>321</v>
      </c>
      <c r="V653" s="8"/>
    </row>
    <row r="654" spans="1:22" ht="16.5" customHeight="1">
      <c r="A654" s="21">
        <v>34</v>
      </c>
      <c r="B654" s="39" t="s">
        <v>94</v>
      </c>
      <c r="C654" s="42" t="s">
        <v>95</v>
      </c>
      <c r="D654" s="77" t="s">
        <v>27</v>
      </c>
      <c r="E654" s="24">
        <v>3</v>
      </c>
      <c r="F654" s="24"/>
      <c r="G654" s="14"/>
      <c r="H654" s="11"/>
      <c r="I654" s="48"/>
      <c r="J654" s="49">
        <f>30/100*(E654+F654+G654)</f>
        <v>0.89999999999999991</v>
      </c>
      <c r="K654" s="50">
        <f>E654+F654+G654+H654+I654+J654</f>
        <v>3.9</v>
      </c>
      <c r="L654" s="51">
        <f>K654*1490000</f>
        <v>5811000</v>
      </c>
      <c r="M654" s="65"/>
      <c r="N654" s="65"/>
      <c r="O654" s="51">
        <f t="shared" si="298"/>
        <v>5811000</v>
      </c>
      <c r="P654" s="53">
        <f t="shared" ref="P654:P655" si="302">((E654+F654+G654+I654)*1490000-M654)*10.5%</f>
        <v>469350</v>
      </c>
      <c r="Q654" s="54"/>
      <c r="R654" s="53">
        <f t="shared" si="274"/>
        <v>469350</v>
      </c>
      <c r="S654" s="76">
        <f>O654-R654-N654</f>
        <v>5341650</v>
      </c>
      <c r="T654" s="41"/>
      <c r="V654" s="8"/>
    </row>
    <row r="655" spans="1:22" ht="16.5" customHeight="1">
      <c r="A655" s="21">
        <v>35</v>
      </c>
      <c r="B655" s="39" t="s">
        <v>23</v>
      </c>
      <c r="C655" s="40" t="s">
        <v>49</v>
      </c>
      <c r="D655" s="55" t="s">
        <v>45</v>
      </c>
      <c r="E655" s="24">
        <v>3.34</v>
      </c>
      <c r="F655" s="24"/>
      <c r="G655" s="14"/>
      <c r="H655" s="24">
        <v>0.2</v>
      </c>
      <c r="I655" s="48"/>
      <c r="J655" s="49"/>
      <c r="K655" s="50">
        <f t="shared" ref="K655" si="303">E655+F655+G655+H655+I655+J655</f>
        <v>3.54</v>
      </c>
      <c r="L655" s="51">
        <f t="shared" ref="L655" si="304">K655*1490000</f>
        <v>5274600</v>
      </c>
      <c r="M655" s="53"/>
      <c r="N655" s="58"/>
      <c r="O655" s="51">
        <f t="shared" si="298"/>
        <v>5274600</v>
      </c>
      <c r="P655" s="53">
        <f t="shared" si="302"/>
        <v>522543</v>
      </c>
      <c r="Q655" s="54"/>
      <c r="R655" s="53">
        <f t="shared" si="274"/>
        <v>522543</v>
      </c>
      <c r="S655" s="76">
        <f>O655-R655</f>
        <v>4752057</v>
      </c>
      <c r="T655" s="41"/>
    </row>
    <row r="656" spans="1:22" ht="16.5" customHeight="1">
      <c r="A656" s="21">
        <v>36</v>
      </c>
      <c r="B656" s="39" t="s">
        <v>52</v>
      </c>
      <c r="C656" s="40" t="s">
        <v>50</v>
      </c>
      <c r="D656" s="77" t="s">
        <v>45</v>
      </c>
      <c r="E656" s="24">
        <v>2.86</v>
      </c>
      <c r="F656" s="24"/>
      <c r="G656" s="14"/>
      <c r="H656" s="24">
        <v>0.2</v>
      </c>
      <c r="I656" s="48"/>
      <c r="J656" s="49"/>
      <c r="K656" s="50">
        <f>E656+F656+G656+H656+I656+J656</f>
        <v>3.06</v>
      </c>
      <c r="L656" s="51">
        <f>K656*1490000</f>
        <v>4559400</v>
      </c>
      <c r="M656" s="53"/>
      <c r="N656" s="51"/>
      <c r="O656" s="51">
        <f t="shared" si="298"/>
        <v>4559400</v>
      </c>
      <c r="P656" s="53">
        <f>((E656+F656+G656+I656)*1490000)*10.5%</f>
        <v>447447</v>
      </c>
      <c r="Q656" s="53"/>
      <c r="R656" s="53">
        <f t="shared" si="274"/>
        <v>447447</v>
      </c>
      <c r="S656" s="76">
        <f>O656-R656</f>
        <v>4111953</v>
      </c>
      <c r="T656" s="41"/>
    </row>
    <row r="657" spans="1:20" ht="16.5" customHeight="1">
      <c r="A657" s="21">
        <v>37</v>
      </c>
      <c r="B657" s="39" t="s">
        <v>54</v>
      </c>
      <c r="C657" s="40" t="s">
        <v>51</v>
      </c>
      <c r="D657" s="77" t="s">
        <v>96</v>
      </c>
      <c r="E657" s="24"/>
      <c r="F657" s="24"/>
      <c r="G657" s="14"/>
      <c r="H657" s="11"/>
      <c r="I657" s="48"/>
      <c r="J657" s="49"/>
      <c r="K657" s="50"/>
      <c r="L657" s="51">
        <v>3920000</v>
      </c>
      <c r="M657" s="53"/>
      <c r="N657" s="58"/>
      <c r="O657" s="51">
        <f t="shared" si="298"/>
        <v>3920000</v>
      </c>
      <c r="P657" s="53">
        <f>O657*10.5%</f>
        <v>411600</v>
      </c>
      <c r="Q657" s="53"/>
      <c r="R657" s="53">
        <f t="shared" si="274"/>
        <v>411600</v>
      </c>
      <c r="S657" s="76">
        <f>O657-R657</f>
        <v>3508400</v>
      </c>
      <c r="T657" s="2"/>
    </row>
    <row r="658" spans="1:20" ht="16.5" customHeight="1">
      <c r="A658" s="2"/>
      <c r="B658" s="2"/>
      <c r="C658" s="3" t="s">
        <v>14</v>
      </c>
      <c r="D658" s="5"/>
      <c r="E658" s="27">
        <f t="shared" ref="E658" si="305">SUM(E621:E657)</f>
        <v>151.68</v>
      </c>
      <c r="F658" s="78">
        <f>SUM(F621:F657)</f>
        <v>2.1999999999999997</v>
      </c>
      <c r="G658" s="27">
        <f>SUM(G621:G657)</f>
        <v>1.1907000000000001</v>
      </c>
      <c r="H658" s="78">
        <f>SUM(H621:H657)</f>
        <v>0.60000000000000009</v>
      </c>
      <c r="I658" s="27">
        <f>SUM(I621:I657)</f>
        <v>27.260023</v>
      </c>
      <c r="J658" s="27">
        <f t="shared" ref="J658" si="306">SUM(J621:J657)</f>
        <v>42.237210000000012</v>
      </c>
      <c r="K658" s="27">
        <f>SUM(K621:K657)</f>
        <v>225.16793300000003</v>
      </c>
      <c r="L658" s="28">
        <f t="shared" ref="L658:O658" si="307">SUM(L621:L657)</f>
        <v>339420220.17000002</v>
      </c>
      <c r="M658" s="75">
        <f t="shared" si="307"/>
        <v>0</v>
      </c>
      <c r="N658" s="75">
        <f t="shared" si="307"/>
        <v>0</v>
      </c>
      <c r="O658" s="28">
        <f t="shared" si="307"/>
        <v>339420220.17000002</v>
      </c>
      <c r="P658" s="28">
        <f>SUM(P621:P657)</f>
        <v>28838025.493349999</v>
      </c>
      <c r="Q658" s="28">
        <f>SUM(Q621:Q657)</f>
        <v>0</v>
      </c>
      <c r="R658" s="28">
        <f t="shared" ref="R658" si="308">SUM(R621:R657)</f>
        <v>28838025.493349999</v>
      </c>
      <c r="S658" s="32">
        <f>SUM(S621:S657)</f>
        <v>310582194.67664993</v>
      </c>
      <c r="T658" s="2"/>
    </row>
    <row r="659" spans="1:20">
      <c r="E659" s="9"/>
      <c r="F659" s="9"/>
      <c r="G659" s="9"/>
      <c r="H659" s="9"/>
      <c r="I659" s="19"/>
      <c r="J659" s="17"/>
    </row>
    <row r="660" spans="1:20">
      <c r="A660" s="1" t="s">
        <v>100</v>
      </c>
      <c r="D660" s="210" t="s">
        <v>319</v>
      </c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</row>
    <row r="661" spans="1:20" ht="15.75">
      <c r="A661" s="6"/>
      <c r="E661" s="9"/>
      <c r="F661" s="9"/>
      <c r="G661" s="9"/>
      <c r="H661" s="9"/>
      <c r="I661" s="19"/>
      <c r="J661" s="17"/>
      <c r="S661" s="15"/>
    </row>
    <row r="662" spans="1:20">
      <c r="A662" s="7"/>
      <c r="B662" s="7"/>
      <c r="C662" s="7"/>
      <c r="D662" s="211"/>
      <c r="E662" s="212"/>
      <c r="F662" s="212"/>
      <c r="G662" s="37"/>
      <c r="H662" s="37"/>
      <c r="I662" s="19"/>
      <c r="J662" s="17"/>
      <c r="N662" s="43"/>
      <c r="O662" s="43"/>
      <c r="P662" s="213" t="s">
        <v>322</v>
      </c>
      <c r="Q662" s="213"/>
      <c r="R662" s="213"/>
      <c r="S662" s="213"/>
    </row>
    <row r="663" spans="1:20">
      <c r="A663" s="214" t="s">
        <v>77</v>
      </c>
      <c r="B663" s="214"/>
      <c r="C663" s="214"/>
      <c r="D663" s="214"/>
      <c r="E663" s="214"/>
      <c r="F663" s="9"/>
      <c r="G663" s="44"/>
      <c r="H663" s="44"/>
      <c r="I663" s="19"/>
      <c r="J663" s="214" t="s">
        <v>79</v>
      </c>
      <c r="K663" s="214"/>
      <c r="L663" s="214"/>
      <c r="M663" s="214"/>
      <c r="P663" s="215" t="s">
        <v>65</v>
      </c>
      <c r="Q663" s="215"/>
      <c r="R663" s="215"/>
      <c r="S663" s="215"/>
    </row>
    <row r="664" spans="1:20">
      <c r="A664" s="216" t="s">
        <v>78</v>
      </c>
      <c r="B664" s="216"/>
      <c r="C664" s="216"/>
      <c r="D664" s="216"/>
      <c r="E664" s="9"/>
      <c r="F664" s="9"/>
      <c r="G664" s="9"/>
      <c r="H664" s="9"/>
      <c r="I664" s="19"/>
      <c r="J664" s="216" t="s">
        <v>80</v>
      </c>
      <c r="K664" s="216"/>
      <c r="L664" s="216"/>
      <c r="P664" s="217" t="s">
        <v>66</v>
      </c>
      <c r="Q664" s="217"/>
      <c r="R664" s="217"/>
      <c r="S664" s="217"/>
    </row>
    <row r="665" spans="1:20">
      <c r="E665" s="9"/>
      <c r="F665" s="9"/>
      <c r="G665" s="9"/>
      <c r="H665" s="9"/>
      <c r="I665" s="19"/>
      <c r="J665" s="17"/>
    </row>
    <row r="666" spans="1:20">
      <c r="B666" s="152"/>
      <c r="C666" s="79"/>
      <c r="D666" s="152"/>
      <c r="E666" s="9"/>
      <c r="F666" s="9"/>
      <c r="G666" s="9"/>
      <c r="H666" s="9"/>
      <c r="I666" s="19"/>
      <c r="J666" s="17"/>
    </row>
    <row r="667" spans="1:20" ht="15.75">
      <c r="B667" s="152"/>
      <c r="C667" s="153"/>
      <c r="D667" s="152"/>
      <c r="E667" s="9"/>
      <c r="F667" s="9"/>
      <c r="G667" s="9"/>
      <c r="H667" s="9"/>
      <c r="I667" s="19"/>
      <c r="J667" s="17"/>
      <c r="L667" s="12"/>
      <c r="P667" s="16"/>
    </row>
    <row r="668" spans="1:20" ht="15.75">
      <c r="B668" s="152"/>
      <c r="C668" s="153"/>
      <c r="D668" s="152"/>
      <c r="E668" s="9"/>
      <c r="F668" s="9"/>
      <c r="G668" s="9"/>
      <c r="H668" s="9"/>
      <c r="I668" s="19"/>
      <c r="J668" s="17"/>
    </row>
    <row r="669" spans="1:20" ht="15.75">
      <c r="B669" s="208" t="s">
        <v>267</v>
      </c>
      <c r="C669" s="208"/>
      <c r="D669" s="208"/>
      <c r="E669" s="9"/>
      <c r="F669" s="9"/>
      <c r="G669" s="9"/>
      <c r="H669" s="9"/>
      <c r="I669" s="19"/>
      <c r="J669" s="209" t="s">
        <v>59</v>
      </c>
      <c r="K669" s="209"/>
      <c r="L669" s="209"/>
      <c r="M669" s="209"/>
      <c r="P669" s="209" t="s">
        <v>81</v>
      </c>
      <c r="Q669" s="209"/>
      <c r="R669" s="209"/>
      <c r="S669" s="209"/>
    </row>
    <row r="679" spans="1:20" ht="15.75">
      <c r="A679" s="227" t="s">
        <v>55</v>
      </c>
      <c r="B679" s="227"/>
      <c r="C679" s="227"/>
      <c r="D679" s="227"/>
      <c r="E679" s="227"/>
      <c r="F679" s="227"/>
      <c r="G679" s="227"/>
      <c r="H679" s="227"/>
      <c r="I679" s="19"/>
      <c r="J679" s="17"/>
      <c r="Q679" s="228" t="s">
        <v>344</v>
      </c>
      <c r="R679" s="228"/>
      <c r="S679" s="228"/>
    </row>
    <row r="680" spans="1:20">
      <c r="A680" s="229" t="s">
        <v>67</v>
      </c>
      <c r="B680" s="229"/>
      <c r="C680" s="229"/>
      <c r="D680" s="229"/>
      <c r="E680" s="229"/>
      <c r="F680" s="229"/>
      <c r="G680" s="229"/>
      <c r="H680" s="9"/>
      <c r="I680" s="19"/>
      <c r="J680" s="17"/>
      <c r="R680" s="230" t="s">
        <v>68</v>
      </c>
      <c r="S680" s="230"/>
    </row>
    <row r="681" spans="1:20" ht="15.75">
      <c r="A681" s="227" t="s">
        <v>56</v>
      </c>
      <c r="B681" s="227"/>
      <c r="C681" s="227"/>
      <c r="D681" s="227"/>
      <c r="E681" s="227"/>
      <c r="F681" s="227"/>
      <c r="G681" s="227"/>
      <c r="H681" s="9"/>
      <c r="I681" s="19"/>
      <c r="J681" s="17"/>
      <c r="R681" s="29" t="s">
        <v>63</v>
      </c>
    </row>
    <row r="682" spans="1:20" ht="20.25">
      <c r="A682" s="231" t="s">
        <v>76</v>
      </c>
      <c r="B682" s="231"/>
      <c r="C682" s="231"/>
      <c r="D682" s="231"/>
      <c r="E682" s="231"/>
      <c r="F682" s="231"/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</row>
    <row r="683" spans="1:20" ht="18.75">
      <c r="A683" s="232" t="s">
        <v>334</v>
      </c>
      <c r="B683" s="232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</row>
    <row r="684" spans="1:20">
      <c r="A684" s="225" t="s">
        <v>0</v>
      </c>
      <c r="B684" s="226" t="s">
        <v>1</v>
      </c>
      <c r="C684" s="226" t="s">
        <v>2</v>
      </c>
      <c r="D684" s="226" t="s">
        <v>3</v>
      </c>
      <c r="E684" s="226" t="s">
        <v>20</v>
      </c>
      <c r="F684" s="226"/>
      <c r="G684" s="226"/>
      <c r="H684" s="226"/>
      <c r="I684" s="226"/>
      <c r="J684" s="226"/>
      <c r="K684" s="226"/>
      <c r="L684" s="226"/>
      <c r="M684" s="233" t="s">
        <v>9</v>
      </c>
      <c r="N684" s="233" t="s">
        <v>11</v>
      </c>
      <c r="O684" s="226" t="s">
        <v>12</v>
      </c>
      <c r="P684" s="234" t="s">
        <v>13</v>
      </c>
      <c r="Q684" s="235"/>
      <c r="R684" s="236"/>
      <c r="S684" s="226" t="s">
        <v>15</v>
      </c>
      <c r="T684" s="218" t="s">
        <v>57</v>
      </c>
    </row>
    <row r="685" spans="1:20">
      <c r="A685" s="225"/>
      <c r="B685" s="226"/>
      <c r="C685" s="226"/>
      <c r="D685" s="226"/>
      <c r="E685" s="221" t="s">
        <v>4</v>
      </c>
      <c r="F685" s="222" t="s">
        <v>5</v>
      </c>
      <c r="G685" s="223" t="s">
        <v>6</v>
      </c>
      <c r="H685" s="223"/>
      <c r="I685" s="223"/>
      <c r="J685" s="223"/>
      <c r="K685" s="224" t="s">
        <v>7</v>
      </c>
      <c r="L685" s="224" t="s">
        <v>8</v>
      </c>
      <c r="M685" s="233"/>
      <c r="N685" s="233"/>
      <c r="O685" s="226"/>
      <c r="P685" s="225" t="s">
        <v>10</v>
      </c>
      <c r="Q685" s="226" t="s">
        <v>85</v>
      </c>
      <c r="R685" s="225" t="s">
        <v>14</v>
      </c>
      <c r="S685" s="226"/>
      <c r="T685" s="219"/>
    </row>
    <row r="686" spans="1:20" ht="63">
      <c r="A686" s="225"/>
      <c r="B686" s="226"/>
      <c r="C686" s="226"/>
      <c r="D686" s="226"/>
      <c r="E686" s="221"/>
      <c r="F686" s="222"/>
      <c r="G686" s="181" t="s">
        <v>26</v>
      </c>
      <c r="H686" s="181" t="s">
        <v>86</v>
      </c>
      <c r="I686" s="20" t="s">
        <v>24</v>
      </c>
      <c r="J686" s="18" t="s">
        <v>25</v>
      </c>
      <c r="K686" s="224"/>
      <c r="L686" s="224"/>
      <c r="M686" s="233"/>
      <c r="N686" s="233"/>
      <c r="O686" s="226"/>
      <c r="P686" s="225"/>
      <c r="Q686" s="226"/>
      <c r="R686" s="225"/>
      <c r="S686" s="226"/>
      <c r="T686" s="220"/>
    </row>
    <row r="687" spans="1:20">
      <c r="A687" s="4" t="s">
        <v>16</v>
      </c>
      <c r="B687" s="4" t="s">
        <v>17</v>
      </c>
      <c r="C687" s="4" t="s">
        <v>18</v>
      </c>
      <c r="D687" s="4" t="s">
        <v>19</v>
      </c>
      <c r="E687" s="13">
        <v>1</v>
      </c>
      <c r="F687" s="13">
        <v>2</v>
      </c>
      <c r="G687" s="13">
        <v>3</v>
      </c>
      <c r="H687" s="13">
        <v>4</v>
      </c>
      <c r="I687" s="13">
        <v>5</v>
      </c>
      <c r="J687" s="23">
        <v>6</v>
      </c>
      <c r="K687" s="4">
        <v>7</v>
      </c>
      <c r="L687" s="4">
        <v>8</v>
      </c>
      <c r="M687" s="4">
        <v>9</v>
      </c>
      <c r="N687" s="4">
        <v>10</v>
      </c>
      <c r="O687" s="30" t="s">
        <v>87</v>
      </c>
      <c r="P687" s="30">
        <v>12</v>
      </c>
      <c r="Q687" s="30">
        <v>13</v>
      </c>
      <c r="R687" s="30">
        <v>14</v>
      </c>
      <c r="S687" s="30" t="s">
        <v>88</v>
      </c>
      <c r="T687" s="2"/>
    </row>
    <row r="688" spans="1:20" ht="17.25" customHeight="1">
      <c r="A688" s="21">
        <v>1</v>
      </c>
      <c r="B688" s="39" t="s">
        <v>89</v>
      </c>
      <c r="C688" s="42" t="s">
        <v>60</v>
      </c>
      <c r="D688" s="46" t="s">
        <v>61</v>
      </c>
      <c r="E688" s="47">
        <v>5.0199999999999996</v>
      </c>
      <c r="F688" s="47">
        <v>0.35</v>
      </c>
      <c r="G688" s="25"/>
      <c r="H688" s="22"/>
      <c r="I688" s="48">
        <f>(E688+F688+G688)*24/100</f>
        <v>1.2887999999999999</v>
      </c>
      <c r="J688" s="49">
        <f>30/100*(E688+F688+G688)</f>
        <v>1.6109999999999998</v>
      </c>
      <c r="K688" s="50">
        <f>E688+F688+G688+H688+I688+J688</f>
        <v>8.2698</v>
      </c>
      <c r="L688" s="51">
        <f>K688*1490000</f>
        <v>12322002</v>
      </c>
      <c r="M688" s="52"/>
      <c r="N688" s="52"/>
      <c r="O688" s="51">
        <f>L688-M688+N688</f>
        <v>12322002</v>
      </c>
      <c r="P688" s="53">
        <f>((E688+F688+G688+I688)*1490000-M688)*9.5%</f>
        <v>942553.14</v>
      </c>
      <c r="Q688" s="54"/>
      <c r="R688" s="53">
        <f>P688+Q688</f>
        <v>942553.14</v>
      </c>
      <c r="S688" s="53">
        <f>O688-R688</f>
        <v>11379448.859999999</v>
      </c>
      <c r="T688" s="41"/>
    </row>
    <row r="689" spans="1:20" ht="17.25" customHeight="1">
      <c r="A689" s="21">
        <v>2</v>
      </c>
      <c r="B689" s="39" t="s">
        <v>21</v>
      </c>
      <c r="C689" s="40" t="s">
        <v>28</v>
      </c>
      <c r="D689" s="55" t="s">
        <v>27</v>
      </c>
      <c r="E689" s="24">
        <v>4.9800000000000004</v>
      </c>
      <c r="F689" s="56"/>
      <c r="G689" s="57">
        <f>E689*7%</f>
        <v>0.34860000000000008</v>
      </c>
      <c r="H689" s="10"/>
      <c r="I689" s="48">
        <f>(E689+F689+G689)*26/100</f>
        <v>1.3854360000000003</v>
      </c>
      <c r="J689" s="49">
        <f>30/100*(E689+F689+G689)</f>
        <v>1.5985800000000001</v>
      </c>
      <c r="K689" s="50">
        <f>E689+F689+G689+H689+I689+J689</f>
        <v>8.312616000000002</v>
      </c>
      <c r="L689" s="51">
        <f>K689*1490000</f>
        <v>12385797.840000004</v>
      </c>
      <c r="M689" s="58"/>
      <c r="N689" s="58"/>
      <c r="O689" s="51">
        <f>L689-M689+N689</f>
        <v>12385797.840000004</v>
      </c>
      <c r="P689" s="53">
        <f>((E689+F689+G689+I689)*1490000-M689)*10.5%</f>
        <v>1050410.9321999999</v>
      </c>
      <c r="Q689" s="54"/>
      <c r="R689" s="53">
        <f t="shared" ref="R689:R724" si="309">P689+Q689</f>
        <v>1050410.9321999999</v>
      </c>
      <c r="S689" s="53">
        <f t="shared" ref="S689" si="310">O689-R689</f>
        <v>11335386.907800004</v>
      </c>
      <c r="T689" s="59"/>
    </row>
    <row r="690" spans="1:20" ht="17.25" customHeight="1">
      <c r="A690" s="21">
        <v>3</v>
      </c>
      <c r="B690" s="39" t="s">
        <v>22</v>
      </c>
      <c r="C690" s="40" t="s">
        <v>30</v>
      </c>
      <c r="D690" s="55" t="s">
        <v>90</v>
      </c>
      <c r="E690" s="24">
        <v>4.8899999999999997</v>
      </c>
      <c r="F690" s="47">
        <v>0.15</v>
      </c>
      <c r="G690" s="57">
        <f>E690*5%</f>
        <v>0.2445</v>
      </c>
      <c r="H690" s="10"/>
      <c r="I690" s="48">
        <f>(E690+F690+G690)*31/100</f>
        <v>1.6381950000000001</v>
      </c>
      <c r="J690" s="49">
        <f>30/100*(E690+F690+G690)</f>
        <v>1.58535</v>
      </c>
      <c r="K690" s="50">
        <f t="shared" ref="K690:K714" si="311">E690+F690+G690+H690+I690+J690</f>
        <v>8.508045000000001</v>
      </c>
      <c r="L690" s="51">
        <f t="shared" ref="L690:L714" si="312">K690*1490000</f>
        <v>12676987.050000001</v>
      </c>
      <c r="M690" s="58"/>
      <c r="N690" s="58"/>
      <c r="O690" s="51">
        <f t="shared" ref="O690:O707" si="313">L690-M690+N690</f>
        <v>12676987.050000001</v>
      </c>
      <c r="P690" s="53">
        <f t="shared" ref="P690:P694" si="314">((E690+F690+G690+I690)*1490000-M690)*10.5%</f>
        <v>1083055.6327500001</v>
      </c>
      <c r="Q690" s="54"/>
      <c r="R690" s="53">
        <f t="shared" si="309"/>
        <v>1083055.6327500001</v>
      </c>
      <c r="S690" s="53">
        <f>O690-R690</f>
        <v>11593931.41725</v>
      </c>
      <c r="T690" s="59"/>
    </row>
    <row r="691" spans="1:20" ht="17.25" customHeight="1">
      <c r="A691" s="21">
        <v>4</v>
      </c>
      <c r="B691" s="39" t="s">
        <v>21</v>
      </c>
      <c r="C691" s="40" t="s">
        <v>32</v>
      </c>
      <c r="D691" s="55" t="s">
        <v>29</v>
      </c>
      <c r="E691" s="24">
        <v>4.9800000000000004</v>
      </c>
      <c r="F691" s="47">
        <v>0.2</v>
      </c>
      <c r="G691" s="57">
        <f>E691*5%</f>
        <v>0.24900000000000003</v>
      </c>
      <c r="H691" s="10"/>
      <c r="I691" s="48">
        <f>(E691+F691+G691)*23%</f>
        <v>1.2486700000000002</v>
      </c>
      <c r="J691" s="49">
        <f t="shared" ref="J691" si="315">30/100*(E691+F691+G691)</f>
        <v>1.6287</v>
      </c>
      <c r="K691" s="50">
        <f t="shared" si="311"/>
        <v>8.3063700000000011</v>
      </c>
      <c r="L691" s="51">
        <f t="shared" si="312"/>
        <v>12376491.300000003</v>
      </c>
      <c r="M691" s="58"/>
      <c r="N691" s="58"/>
      <c r="O691" s="51">
        <f t="shared" si="313"/>
        <v>12376491.300000003</v>
      </c>
      <c r="P691" s="53">
        <f t="shared" si="314"/>
        <v>1044721.4715</v>
      </c>
      <c r="Q691" s="54"/>
      <c r="R691" s="53">
        <f t="shared" si="309"/>
        <v>1044721.4715</v>
      </c>
      <c r="S691" s="53">
        <f t="shared" ref="S691" si="316">O691-R691</f>
        <v>11331769.828500003</v>
      </c>
      <c r="T691" s="59"/>
    </row>
    <row r="692" spans="1:20" ht="17.25" customHeight="1">
      <c r="A692" s="21">
        <v>5</v>
      </c>
      <c r="B692" s="39" t="s">
        <v>21</v>
      </c>
      <c r="C692" s="40" t="s">
        <v>82</v>
      </c>
      <c r="D692" s="55" t="s">
        <v>29</v>
      </c>
      <c r="E692" s="24">
        <v>4.9800000000000004</v>
      </c>
      <c r="F692" s="47">
        <v>0.2</v>
      </c>
      <c r="G692" s="57">
        <f>E692*7%</f>
        <v>0.34860000000000008</v>
      </c>
      <c r="H692" s="10"/>
      <c r="I692" s="48">
        <f>(E692+F692+G692)*27%</f>
        <v>1.4927220000000003</v>
      </c>
      <c r="J692" s="49">
        <f>30/100*(E692+F692+G692)</f>
        <v>1.6585800000000002</v>
      </c>
      <c r="K692" s="50">
        <f t="shared" si="311"/>
        <v>8.679902000000002</v>
      </c>
      <c r="L692" s="51">
        <f t="shared" si="312"/>
        <v>12933053.980000002</v>
      </c>
      <c r="M692" s="58"/>
      <c r="N692" s="58"/>
      <c r="O692" s="51">
        <f t="shared" si="313"/>
        <v>12933053.980000002</v>
      </c>
      <c r="P692" s="53">
        <f t="shared" si="314"/>
        <v>1098485.8269</v>
      </c>
      <c r="Q692" s="54"/>
      <c r="R692" s="53">
        <f t="shared" si="309"/>
        <v>1098485.8269</v>
      </c>
      <c r="S692" s="53">
        <f>O692-R692</f>
        <v>11834568.153100003</v>
      </c>
      <c r="T692" s="59"/>
    </row>
    <row r="693" spans="1:20" ht="17.25" customHeight="1">
      <c r="A693" s="21">
        <v>6</v>
      </c>
      <c r="B693" s="39" t="s">
        <v>21</v>
      </c>
      <c r="C693" s="40" t="s">
        <v>84</v>
      </c>
      <c r="D693" s="55" t="s">
        <v>62</v>
      </c>
      <c r="E693" s="24">
        <v>4.9800000000000004</v>
      </c>
      <c r="F693" s="47">
        <v>0.25</v>
      </c>
      <c r="G693" s="14"/>
      <c r="H693" s="10"/>
      <c r="I693" s="48">
        <f>(E693+F693+G693)*22%</f>
        <v>1.1506000000000001</v>
      </c>
      <c r="J693" s="49">
        <f t="shared" ref="J693" si="317">30/100*(E693+F693+G693)</f>
        <v>1.5690000000000002</v>
      </c>
      <c r="K693" s="50">
        <f t="shared" si="311"/>
        <v>7.9496000000000002</v>
      </c>
      <c r="L693" s="51">
        <f t="shared" si="312"/>
        <v>11844904</v>
      </c>
      <c r="M693" s="58"/>
      <c r="N693" s="58"/>
      <c r="O693" s="51">
        <f t="shared" si="313"/>
        <v>11844904</v>
      </c>
      <c r="P693" s="53">
        <f t="shared" si="314"/>
        <v>998244.87</v>
      </c>
      <c r="Q693" s="54"/>
      <c r="R693" s="53">
        <f t="shared" si="309"/>
        <v>998244.87</v>
      </c>
      <c r="S693" s="53">
        <f t="shared" ref="S693" si="318">O693-R693</f>
        <v>10846659.130000001</v>
      </c>
      <c r="T693" s="41"/>
    </row>
    <row r="694" spans="1:20" ht="17.25" customHeight="1">
      <c r="A694" s="21">
        <v>7</v>
      </c>
      <c r="B694" s="39" t="s">
        <v>22</v>
      </c>
      <c r="C694" s="42" t="s">
        <v>31</v>
      </c>
      <c r="D694" s="55" t="s">
        <v>27</v>
      </c>
      <c r="E694" s="24">
        <v>4.8899999999999997</v>
      </c>
      <c r="F694" s="47"/>
      <c r="G694" s="57"/>
      <c r="H694" s="10"/>
      <c r="I694" s="48">
        <f>(E694+F694+G694)*27/100</f>
        <v>1.3203</v>
      </c>
      <c r="J694" s="49">
        <f>30/100*(E694+F694+G694)</f>
        <v>1.4669999999999999</v>
      </c>
      <c r="K694" s="50">
        <f t="shared" si="311"/>
        <v>7.6772999999999998</v>
      </c>
      <c r="L694" s="51">
        <f t="shared" si="312"/>
        <v>11439177</v>
      </c>
      <c r="M694" s="58"/>
      <c r="N694" s="58"/>
      <c r="O694" s="51">
        <f t="shared" si="313"/>
        <v>11439177</v>
      </c>
      <c r="P694" s="53">
        <f t="shared" si="314"/>
        <v>971601.43499999994</v>
      </c>
      <c r="Q694" s="54"/>
      <c r="R694" s="53">
        <f t="shared" si="309"/>
        <v>971601.43499999994</v>
      </c>
      <c r="S694" s="53">
        <f>O694-R694</f>
        <v>10467575.564999999</v>
      </c>
      <c r="T694" s="41"/>
    </row>
    <row r="695" spans="1:20" ht="17.25" customHeight="1">
      <c r="A695" s="21">
        <v>8</v>
      </c>
      <c r="B695" s="39" t="s">
        <v>21</v>
      </c>
      <c r="C695" s="26" t="s">
        <v>70</v>
      </c>
      <c r="D695" s="55" t="s">
        <v>27</v>
      </c>
      <c r="E695" s="24">
        <v>4.9800000000000004</v>
      </c>
      <c r="F695" s="47"/>
      <c r="G695" s="14"/>
      <c r="H695" s="10"/>
      <c r="I695" s="48">
        <f>(E695+F695+G695)*23/100</f>
        <v>1.1454</v>
      </c>
      <c r="J695" s="49">
        <f t="shared" ref="J695:J697" si="319">30/100*(E695+F695+G695)</f>
        <v>1.494</v>
      </c>
      <c r="K695" s="50">
        <f t="shared" si="311"/>
        <v>7.6194000000000006</v>
      </c>
      <c r="L695" s="51">
        <f t="shared" si="312"/>
        <v>11352906</v>
      </c>
      <c r="M695" s="58"/>
      <c r="N695" s="58"/>
      <c r="O695" s="51">
        <f t="shared" si="313"/>
        <v>11352906</v>
      </c>
      <c r="P695" s="53">
        <f>((E695+F695+G695+I695)*1490000-M695)*10.5%</f>
        <v>958318.83000000019</v>
      </c>
      <c r="Q695" s="54"/>
      <c r="R695" s="53">
        <f t="shared" si="309"/>
        <v>958318.83000000019</v>
      </c>
      <c r="S695" s="53">
        <f>O695-R695</f>
        <v>10394587.17</v>
      </c>
      <c r="T695" s="41"/>
    </row>
    <row r="696" spans="1:20" ht="17.25" customHeight="1">
      <c r="A696" s="21">
        <v>9</v>
      </c>
      <c r="B696" s="39" t="s">
        <v>21</v>
      </c>
      <c r="C696" s="26" t="s">
        <v>33</v>
      </c>
      <c r="D696" s="55" t="s">
        <v>29</v>
      </c>
      <c r="E696" s="24">
        <v>4.6500000000000004</v>
      </c>
      <c r="F696" s="47">
        <v>0.2</v>
      </c>
      <c r="G696" s="14"/>
      <c r="H696" s="10"/>
      <c r="I696" s="48">
        <f>(E696+F696+G696)*22/100</f>
        <v>1.0670000000000002</v>
      </c>
      <c r="J696" s="49">
        <f t="shared" si="319"/>
        <v>1.4550000000000001</v>
      </c>
      <c r="K696" s="50">
        <f t="shared" si="311"/>
        <v>7.3720000000000008</v>
      </c>
      <c r="L696" s="51">
        <f t="shared" si="312"/>
        <v>10984280.000000002</v>
      </c>
      <c r="M696" s="58"/>
      <c r="N696" s="58"/>
      <c r="O696" s="51">
        <f t="shared" si="313"/>
        <v>10984280.000000002</v>
      </c>
      <c r="P696" s="53">
        <f t="shared" ref="P696:P697" si="320">((E696+F696+G696+I696)*1490000-M696)*10.5%</f>
        <v>925714.65000000014</v>
      </c>
      <c r="Q696" s="54"/>
      <c r="R696" s="53">
        <f t="shared" si="309"/>
        <v>925714.65000000014</v>
      </c>
      <c r="S696" s="53">
        <f t="shared" ref="S696:S698" si="321">O696-R696</f>
        <v>10058565.350000001</v>
      </c>
      <c r="T696" s="41"/>
    </row>
    <row r="697" spans="1:20" ht="17.25" customHeight="1">
      <c r="A697" s="21">
        <v>10</v>
      </c>
      <c r="B697" s="39" t="s">
        <v>21</v>
      </c>
      <c r="C697" s="26" t="s">
        <v>34</v>
      </c>
      <c r="D697" s="55" t="s">
        <v>27</v>
      </c>
      <c r="E697" s="24">
        <v>4.32</v>
      </c>
      <c r="F697" s="47"/>
      <c r="G697" s="14"/>
      <c r="H697" s="10"/>
      <c r="I697" s="48">
        <f>(E697+F697+G697)*19/100</f>
        <v>0.82080000000000009</v>
      </c>
      <c r="J697" s="49">
        <f t="shared" si="319"/>
        <v>1.296</v>
      </c>
      <c r="K697" s="50">
        <f t="shared" si="311"/>
        <v>6.4368000000000007</v>
      </c>
      <c r="L697" s="51">
        <f t="shared" si="312"/>
        <v>9590832.0000000019</v>
      </c>
      <c r="M697" s="58"/>
      <c r="N697" s="58"/>
      <c r="O697" s="51">
        <f t="shared" si="313"/>
        <v>9590832.0000000019</v>
      </c>
      <c r="P697" s="53">
        <f t="shared" si="320"/>
        <v>804278.16</v>
      </c>
      <c r="Q697" s="54"/>
      <c r="R697" s="53">
        <f t="shared" si="309"/>
        <v>804278.16</v>
      </c>
      <c r="S697" s="53">
        <f t="shared" si="321"/>
        <v>8786553.8400000017</v>
      </c>
      <c r="T697" s="41"/>
    </row>
    <row r="698" spans="1:20" ht="17.25" customHeight="1">
      <c r="A698" s="21">
        <v>11</v>
      </c>
      <c r="B698" s="39" t="s">
        <v>21</v>
      </c>
      <c r="C698" s="42" t="s">
        <v>36</v>
      </c>
      <c r="D698" s="55" t="s">
        <v>29</v>
      </c>
      <c r="E698" s="24">
        <v>4.32</v>
      </c>
      <c r="F698" s="47">
        <v>0.2</v>
      </c>
      <c r="G698" s="33"/>
      <c r="H698" s="35"/>
      <c r="I698" s="48">
        <f>(E698+F698+G698)*20%</f>
        <v>0.90400000000000014</v>
      </c>
      <c r="J698" s="49">
        <f>30/100*(E698+F698+G698)</f>
        <v>1.3560000000000001</v>
      </c>
      <c r="K698" s="50">
        <f>E698+F698+G698+H698+I698+J698</f>
        <v>6.78</v>
      </c>
      <c r="L698" s="51">
        <f>K698*1490000</f>
        <v>10102200</v>
      </c>
      <c r="M698" s="58"/>
      <c r="N698" s="58"/>
      <c r="O698" s="51">
        <f t="shared" si="313"/>
        <v>10102200</v>
      </c>
      <c r="P698" s="53">
        <f>((E698+F698+G698+I698)*1490000-M698)*10.5%</f>
        <v>848584.8</v>
      </c>
      <c r="Q698" s="54"/>
      <c r="R698" s="53">
        <f t="shared" si="309"/>
        <v>848584.8</v>
      </c>
      <c r="S698" s="53">
        <f t="shared" si="321"/>
        <v>9253615.1999999993</v>
      </c>
      <c r="T698" s="151"/>
    </row>
    <row r="699" spans="1:20" ht="17.25" customHeight="1">
      <c r="A699" s="21">
        <v>12</v>
      </c>
      <c r="B699" s="39" t="s">
        <v>64</v>
      </c>
      <c r="C699" s="26" t="s">
        <v>59</v>
      </c>
      <c r="D699" s="55" t="s">
        <v>35</v>
      </c>
      <c r="E699" s="24">
        <v>4.2699999999999996</v>
      </c>
      <c r="F699" s="47">
        <v>0.2</v>
      </c>
      <c r="G699" s="33"/>
      <c r="H699" s="34">
        <v>0.1</v>
      </c>
      <c r="I699" s="48"/>
      <c r="J699" s="49"/>
      <c r="K699" s="50">
        <f t="shared" si="311"/>
        <v>4.5699999999999994</v>
      </c>
      <c r="L699" s="51">
        <f>K699*1490000</f>
        <v>6809299.9999999991</v>
      </c>
      <c r="M699" s="58"/>
      <c r="N699" s="58"/>
      <c r="O699" s="51">
        <f t="shared" si="313"/>
        <v>6809299.9999999991</v>
      </c>
      <c r="P699" s="53">
        <f>((E699+F699+G699+I699)*1490000-M699)*10.5%</f>
        <v>699331.5</v>
      </c>
      <c r="Q699" s="54"/>
      <c r="R699" s="53">
        <f t="shared" si="309"/>
        <v>699331.5</v>
      </c>
      <c r="S699" s="53">
        <f>O699-R699</f>
        <v>6109968.4999999991</v>
      </c>
      <c r="T699" s="151"/>
    </row>
    <row r="700" spans="1:20" ht="17.25" customHeight="1">
      <c r="A700" s="21">
        <v>13</v>
      </c>
      <c r="B700" s="39" t="s">
        <v>21</v>
      </c>
      <c r="C700" s="40" t="s">
        <v>69</v>
      </c>
      <c r="D700" s="55" t="s">
        <v>27</v>
      </c>
      <c r="E700" s="24">
        <v>4.6500000000000004</v>
      </c>
      <c r="F700" s="47"/>
      <c r="G700" s="33"/>
      <c r="H700" s="35"/>
      <c r="I700" s="48">
        <f>(E700+F700+G700)*20/100</f>
        <v>0.93</v>
      </c>
      <c r="J700" s="49">
        <f>30/100*(E700+F700+G700)</f>
        <v>1.395</v>
      </c>
      <c r="K700" s="50">
        <f t="shared" si="311"/>
        <v>6.9749999999999996</v>
      </c>
      <c r="L700" s="51">
        <f t="shared" si="312"/>
        <v>10392750</v>
      </c>
      <c r="M700" s="58"/>
      <c r="N700" s="58"/>
      <c r="O700" s="51">
        <f t="shared" si="313"/>
        <v>10392750</v>
      </c>
      <c r="P700" s="53">
        <f t="shared" ref="P700:P714" si="322">((E700+F700+G700+I700)*1490000-M700)*10.5%</f>
        <v>872991</v>
      </c>
      <c r="Q700" s="54"/>
      <c r="R700" s="53">
        <f t="shared" si="309"/>
        <v>872991</v>
      </c>
      <c r="S700" s="53">
        <f t="shared" ref="S700:S707" si="323">O700-R700</f>
        <v>9519759</v>
      </c>
      <c r="T700" s="150"/>
    </row>
    <row r="701" spans="1:20" ht="17.25" customHeight="1">
      <c r="A701" s="21">
        <v>14</v>
      </c>
      <c r="B701" s="39" t="s">
        <v>21</v>
      </c>
      <c r="C701" s="40" t="s">
        <v>37</v>
      </c>
      <c r="D701" s="55" t="s">
        <v>27</v>
      </c>
      <c r="E701" s="24">
        <v>4.32</v>
      </c>
      <c r="F701" s="24"/>
      <c r="G701" s="33"/>
      <c r="H701" s="35"/>
      <c r="I701" s="48">
        <f>(E701+F701+G701)*20/100</f>
        <v>0.8640000000000001</v>
      </c>
      <c r="J701" s="49">
        <f>30/100*(E701+F701+G701)</f>
        <v>1.296</v>
      </c>
      <c r="K701" s="50">
        <f t="shared" si="311"/>
        <v>6.48</v>
      </c>
      <c r="L701" s="51">
        <f t="shared" si="312"/>
        <v>9655200</v>
      </c>
      <c r="M701" s="58"/>
      <c r="N701" s="58"/>
      <c r="O701" s="51">
        <f t="shared" si="313"/>
        <v>9655200</v>
      </c>
      <c r="P701" s="53">
        <f t="shared" si="322"/>
        <v>811036.79999999993</v>
      </c>
      <c r="Q701" s="54"/>
      <c r="R701" s="53">
        <f t="shared" si="309"/>
        <v>811036.79999999993</v>
      </c>
      <c r="S701" s="53">
        <f t="shared" si="323"/>
        <v>8844163.1999999993</v>
      </c>
      <c r="T701" s="2"/>
    </row>
    <row r="702" spans="1:20" ht="17.25" customHeight="1">
      <c r="A702" s="21">
        <v>15</v>
      </c>
      <c r="B702" s="39" t="s">
        <v>21</v>
      </c>
      <c r="C702" s="40" t="s">
        <v>71</v>
      </c>
      <c r="D702" s="55" t="s">
        <v>27</v>
      </c>
      <c r="E702" s="24">
        <v>4.32</v>
      </c>
      <c r="F702" s="24"/>
      <c r="G702" s="33"/>
      <c r="H702" s="35"/>
      <c r="I702" s="48">
        <f>(E702+F702+G702)*20/100</f>
        <v>0.8640000000000001</v>
      </c>
      <c r="J702" s="49">
        <f t="shared" ref="J702:J704" si="324">30/100*(E702+F702+G702)</f>
        <v>1.296</v>
      </c>
      <c r="K702" s="50">
        <f t="shared" si="311"/>
        <v>6.48</v>
      </c>
      <c r="L702" s="51">
        <f t="shared" si="312"/>
        <v>9655200</v>
      </c>
      <c r="M702" s="58"/>
      <c r="N702" s="58"/>
      <c r="O702" s="51">
        <f t="shared" si="313"/>
        <v>9655200</v>
      </c>
      <c r="P702" s="53">
        <f t="shared" si="322"/>
        <v>811036.79999999993</v>
      </c>
      <c r="Q702" s="54"/>
      <c r="R702" s="53">
        <f t="shared" si="309"/>
        <v>811036.79999999993</v>
      </c>
      <c r="S702" s="53">
        <f t="shared" si="323"/>
        <v>8844163.1999999993</v>
      </c>
      <c r="T702" s="41"/>
    </row>
    <row r="703" spans="1:20" ht="17.25" customHeight="1">
      <c r="A703" s="21">
        <v>16</v>
      </c>
      <c r="B703" s="39" t="s">
        <v>21</v>
      </c>
      <c r="C703" s="40" t="s">
        <v>38</v>
      </c>
      <c r="D703" s="55" t="s">
        <v>27</v>
      </c>
      <c r="E703" s="24">
        <v>4.32</v>
      </c>
      <c r="F703" s="24"/>
      <c r="G703" s="33"/>
      <c r="H703" s="35"/>
      <c r="I703" s="48">
        <f>(E703+F703+G703)*18%</f>
        <v>0.77760000000000007</v>
      </c>
      <c r="J703" s="49">
        <f t="shared" si="324"/>
        <v>1.296</v>
      </c>
      <c r="K703" s="50">
        <f t="shared" si="311"/>
        <v>6.3936000000000002</v>
      </c>
      <c r="L703" s="51">
        <f t="shared" si="312"/>
        <v>9526464</v>
      </c>
      <c r="M703" s="58"/>
      <c r="N703" s="58"/>
      <c r="O703" s="51">
        <f t="shared" si="313"/>
        <v>9526464</v>
      </c>
      <c r="P703" s="53">
        <f t="shared" si="322"/>
        <v>797519.52</v>
      </c>
      <c r="Q703" s="54"/>
      <c r="R703" s="53">
        <f t="shared" si="309"/>
        <v>797519.52</v>
      </c>
      <c r="S703" s="53">
        <f t="shared" si="323"/>
        <v>8728944.4800000004</v>
      </c>
      <c r="T703" s="41"/>
    </row>
    <row r="704" spans="1:20" ht="17.25" customHeight="1">
      <c r="A704" s="21">
        <v>17</v>
      </c>
      <c r="B704" s="39" t="s">
        <v>21</v>
      </c>
      <c r="C704" s="40" t="s">
        <v>72</v>
      </c>
      <c r="D704" s="55" t="s">
        <v>27</v>
      </c>
      <c r="E704" s="24">
        <v>4.32</v>
      </c>
      <c r="F704" s="24"/>
      <c r="G704" s="33"/>
      <c r="H704" s="35"/>
      <c r="I704" s="48">
        <f>(E704+F704+G704)*18%</f>
        <v>0.77760000000000007</v>
      </c>
      <c r="J704" s="49">
        <f t="shared" si="324"/>
        <v>1.296</v>
      </c>
      <c r="K704" s="50">
        <f t="shared" si="311"/>
        <v>6.3936000000000002</v>
      </c>
      <c r="L704" s="51">
        <f t="shared" si="312"/>
        <v>9526464</v>
      </c>
      <c r="M704" s="58"/>
      <c r="N704" s="58"/>
      <c r="O704" s="51">
        <f t="shared" si="313"/>
        <v>9526464</v>
      </c>
      <c r="P704" s="53">
        <f t="shared" si="322"/>
        <v>797519.52</v>
      </c>
      <c r="Q704" s="54"/>
      <c r="R704" s="53">
        <f t="shared" si="309"/>
        <v>797519.52</v>
      </c>
      <c r="S704" s="53">
        <f t="shared" si="323"/>
        <v>8728944.4800000004</v>
      </c>
      <c r="T704" s="41"/>
    </row>
    <row r="705" spans="1:20" ht="17.25" customHeight="1">
      <c r="A705" s="21">
        <v>18</v>
      </c>
      <c r="B705" s="39" t="s">
        <v>21</v>
      </c>
      <c r="C705" s="40" t="s">
        <v>91</v>
      </c>
      <c r="D705" s="55" t="s">
        <v>27</v>
      </c>
      <c r="E705" s="24">
        <v>4.6500000000000004</v>
      </c>
      <c r="F705" s="24">
        <v>0.15</v>
      </c>
      <c r="G705" s="60"/>
      <c r="H705" s="35"/>
      <c r="I705" s="48">
        <f>(E705+F705+G705)*20%</f>
        <v>0.96000000000000019</v>
      </c>
      <c r="J705" s="49">
        <f>30/100*(E705+F705+G705)</f>
        <v>1.4400000000000002</v>
      </c>
      <c r="K705" s="61">
        <f t="shared" si="311"/>
        <v>7.2000000000000011</v>
      </c>
      <c r="L705" s="62">
        <f t="shared" si="312"/>
        <v>10728000.000000002</v>
      </c>
      <c r="M705" s="63"/>
      <c r="N705" s="63"/>
      <c r="O705" s="62">
        <f t="shared" si="313"/>
        <v>10728000.000000002</v>
      </c>
      <c r="P705" s="64">
        <f t="shared" si="322"/>
        <v>901152.00000000012</v>
      </c>
      <c r="Q705" s="54"/>
      <c r="R705" s="64">
        <f t="shared" si="309"/>
        <v>901152.00000000012</v>
      </c>
      <c r="S705" s="64">
        <f t="shared" si="323"/>
        <v>9826848.0000000019</v>
      </c>
      <c r="T705" s="41"/>
    </row>
    <row r="706" spans="1:20" ht="17.25" customHeight="1">
      <c r="A706" s="21">
        <v>19</v>
      </c>
      <c r="B706" s="39" t="s">
        <v>21</v>
      </c>
      <c r="C706" s="40" t="s">
        <v>39</v>
      </c>
      <c r="D706" s="55" t="s">
        <v>27</v>
      </c>
      <c r="E706" s="24">
        <v>4.32</v>
      </c>
      <c r="F706" s="24"/>
      <c r="G706" s="33"/>
      <c r="H706" s="36"/>
      <c r="I706" s="48">
        <f>(E706+F706+G706)*22%</f>
        <v>0.95040000000000002</v>
      </c>
      <c r="J706" s="49">
        <f>30/100*(E706+F706+G706)</f>
        <v>1.296</v>
      </c>
      <c r="K706" s="50">
        <f t="shared" si="311"/>
        <v>6.5664000000000007</v>
      </c>
      <c r="L706" s="51">
        <f t="shared" si="312"/>
        <v>9783936.0000000019</v>
      </c>
      <c r="M706" s="58"/>
      <c r="N706" s="58"/>
      <c r="O706" s="51">
        <f t="shared" si="313"/>
        <v>9783936.0000000019</v>
      </c>
      <c r="P706" s="53">
        <f t="shared" si="322"/>
        <v>824554.08000000007</v>
      </c>
      <c r="Q706" s="54"/>
      <c r="R706" s="53">
        <f t="shared" si="309"/>
        <v>824554.08000000007</v>
      </c>
      <c r="S706" s="53">
        <f t="shared" si="323"/>
        <v>8959381.9200000018</v>
      </c>
      <c r="T706" s="41"/>
    </row>
    <row r="707" spans="1:20" ht="17.25" customHeight="1">
      <c r="A707" s="21">
        <v>20</v>
      </c>
      <c r="B707" s="39" t="s">
        <v>22</v>
      </c>
      <c r="C707" s="40" t="s">
        <v>40</v>
      </c>
      <c r="D707" s="55" t="s">
        <v>90</v>
      </c>
      <c r="E707" s="24">
        <v>3.96</v>
      </c>
      <c r="F707" s="24">
        <v>0.15</v>
      </c>
      <c r="G707" s="33"/>
      <c r="H707" s="36"/>
      <c r="I707" s="48">
        <f>(E707+F707+G707)*18/100</f>
        <v>0.73980000000000001</v>
      </c>
      <c r="J707" s="49">
        <f t="shared" ref="J707" si="325">30/100*(E707+F707+G707)</f>
        <v>1.2330000000000001</v>
      </c>
      <c r="K707" s="50">
        <f t="shared" si="311"/>
        <v>6.0828000000000007</v>
      </c>
      <c r="L707" s="51">
        <f t="shared" si="312"/>
        <v>9063372.0000000019</v>
      </c>
      <c r="M707" s="58"/>
      <c r="N707" s="58"/>
      <c r="O707" s="51">
        <f t="shared" si="313"/>
        <v>9063372.0000000019</v>
      </c>
      <c r="P707" s="53">
        <f t="shared" si="322"/>
        <v>758751.21</v>
      </c>
      <c r="Q707" s="54"/>
      <c r="R707" s="53">
        <f t="shared" si="309"/>
        <v>758751.21</v>
      </c>
      <c r="S707" s="53">
        <f t="shared" si="323"/>
        <v>8304620.7900000019</v>
      </c>
      <c r="T707" s="41"/>
    </row>
    <row r="708" spans="1:20" ht="17.25" customHeight="1">
      <c r="A708" s="21">
        <v>21</v>
      </c>
      <c r="B708" s="39" t="s">
        <v>21</v>
      </c>
      <c r="C708" s="40" t="s">
        <v>73</v>
      </c>
      <c r="D708" s="55" t="s">
        <v>27</v>
      </c>
      <c r="E708" s="24">
        <v>3.99</v>
      </c>
      <c r="F708" s="24"/>
      <c r="G708" s="14"/>
      <c r="H708" s="10"/>
      <c r="I708" s="48">
        <f>(E708+F708+G708)*17%</f>
        <v>0.67830000000000013</v>
      </c>
      <c r="J708" s="49">
        <f>30/100*(E708+F708+G708)</f>
        <v>1.1970000000000001</v>
      </c>
      <c r="K708" s="50">
        <f t="shared" si="311"/>
        <v>5.8653000000000004</v>
      </c>
      <c r="L708" s="51">
        <f t="shared" si="312"/>
        <v>8739297</v>
      </c>
      <c r="M708" s="65"/>
      <c r="N708" s="65"/>
      <c r="O708" s="51">
        <f>L708-M708+N708</f>
        <v>8739297</v>
      </c>
      <c r="P708" s="53">
        <f t="shared" si="322"/>
        <v>730355.53500000003</v>
      </c>
      <c r="Q708" s="54"/>
      <c r="R708" s="53">
        <f t="shared" si="309"/>
        <v>730355.53500000003</v>
      </c>
      <c r="S708" s="53">
        <f>O708-R708-N708</f>
        <v>8008941.4649999999</v>
      </c>
      <c r="T708" s="41"/>
    </row>
    <row r="709" spans="1:20" ht="17.25" customHeight="1">
      <c r="A709" s="21">
        <v>22</v>
      </c>
      <c r="B709" s="39" t="s">
        <v>21</v>
      </c>
      <c r="C709" s="40" t="s">
        <v>41</v>
      </c>
      <c r="D709" s="55" t="s">
        <v>27</v>
      </c>
      <c r="E709" s="24">
        <v>3.99</v>
      </c>
      <c r="F709" s="56"/>
      <c r="G709" s="14"/>
      <c r="H709" s="10"/>
      <c r="I709" s="48">
        <f>(E709+F709+G709)*17/100</f>
        <v>0.67830000000000001</v>
      </c>
      <c r="J709" s="49">
        <f t="shared" ref="J709:J713" si="326">30/100*(E709+F709+G709)</f>
        <v>1.1970000000000001</v>
      </c>
      <c r="K709" s="50">
        <f t="shared" si="311"/>
        <v>5.8653000000000004</v>
      </c>
      <c r="L709" s="51">
        <f t="shared" si="312"/>
        <v>8739297</v>
      </c>
      <c r="M709" s="58"/>
      <c r="N709" s="58"/>
      <c r="O709" s="51">
        <f t="shared" ref="O709:O714" si="327">L709-M709+N709</f>
        <v>8739297</v>
      </c>
      <c r="P709" s="53">
        <f t="shared" si="322"/>
        <v>730355.53500000003</v>
      </c>
      <c r="Q709" s="54"/>
      <c r="R709" s="53">
        <f t="shared" si="309"/>
        <v>730355.53500000003</v>
      </c>
      <c r="S709" s="53">
        <f t="shared" ref="S709:S712" si="328">O709-R709</f>
        <v>8008941.4649999999</v>
      </c>
      <c r="T709" s="41"/>
    </row>
    <row r="710" spans="1:20" ht="17.25" customHeight="1">
      <c r="A710" s="21">
        <v>23</v>
      </c>
      <c r="B710" s="39" t="s">
        <v>21</v>
      </c>
      <c r="C710" s="40" t="s">
        <v>42</v>
      </c>
      <c r="D710" s="55" t="s">
        <v>27</v>
      </c>
      <c r="E710" s="24">
        <v>4.32</v>
      </c>
      <c r="F710" s="56"/>
      <c r="G710" s="14"/>
      <c r="H710" s="34">
        <v>0.1</v>
      </c>
      <c r="I710" s="48">
        <f>(E710+F710+G710)*17/100</f>
        <v>0.73439999999999994</v>
      </c>
      <c r="J710" s="49">
        <f t="shared" si="326"/>
        <v>1.296</v>
      </c>
      <c r="K710" s="50">
        <f t="shared" si="311"/>
        <v>6.4504000000000001</v>
      </c>
      <c r="L710" s="51">
        <f t="shared" si="312"/>
        <v>9611096</v>
      </c>
      <c r="M710" s="58"/>
      <c r="N710" s="58"/>
      <c r="O710" s="51">
        <f t="shared" si="327"/>
        <v>9611096</v>
      </c>
      <c r="P710" s="53">
        <f t="shared" si="322"/>
        <v>790760.88</v>
      </c>
      <c r="Q710" s="54"/>
      <c r="R710" s="53">
        <f t="shared" si="309"/>
        <v>790760.88</v>
      </c>
      <c r="S710" s="53">
        <f t="shared" si="328"/>
        <v>8820335.1199999992</v>
      </c>
      <c r="T710" s="41"/>
    </row>
    <row r="711" spans="1:20" ht="17.25" customHeight="1">
      <c r="A711" s="21">
        <v>24</v>
      </c>
      <c r="B711" s="39" t="s">
        <v>21</v>
      </c>
      <c r="C711" s="26" t="s">
        <v>74</v>
      </c>
      <c r="D711" s="55" t="s">
        <v>27</v>
      </c>
      <c r="E711" s="24">
        <v>3.99</v>
      </c>
      <c r="F711" s="56"/>
      <c r="G711" s="14"/>
      <c r="H711" s="10"/>
      <c r="I711" s="66">
        <f>(E711+F711+G711)*16/100</f>
        <v>0.63840000000000008</v>
      </c>
      <c r="J711" s="67">
        <f t="shared" si="326"/>
        <v>1.1970000000000001</v>
      </c>
      <c r="K711" s="68">
        <f t="shared" si="311"/>
        <v>5.8254000000000001</v>
      </c>
      <c r="L711" s="69">
        <f t="shared" si="312"/>
        <v>8679846</v>
      </c>
      <c r="M711" s="70"/>
      <c r="N711" s="70"/>
      <c r="O711" s="69">
        <f t="shared" si="327"/>
        <v>8679846</v>
      </c>
      <c r="P711" s="71">
        <f t="shared" si="322"/>
        <v>724113.17999999993</v>
      </c>
      <c r="Q711" s="54"/>
      <c r="R711" s="71">
        <f t="shared" si="309"/>
        <v>724113.17999999993</v>
      </c>
      <c r="S711" s="71">
        <f>O711-R711</f>
        <v>7955732.8200000003</v>
      </c>
      <c r="T711" s="41"/>
    </row>
    <row r="712" spans="1:20" ht="17.25" customHeight="1">
      <c r="A712" s="21">
        <v>25</v>
      </c>
      <c r="B712" s="72" t="s">
        <v>21</v>
      </c>
      <c r="C712" s="26" t="s">
        <v>43</v>
      </c>
      <c r="D712" s="55" t="s">
        <v>27</v>
      </c>
      <c r="E712" s="24">
        <v>3.99</v>
      </c>
      <c r="F712" s="56"/>
      <c r="G712" s="14"/>
      <c r="H712" s="10"/>
      <c r="I712" s="66">
        <f>(E712+F712+G712)*16/100</f>
        <v>0.63840000000000008</v>
      </c>
      <c r="J712" s="67">
        <f t="shared" si="326"/>
        <v>1.1970000000000001</v>
      </c>
      <c r="K712" s="68">
        <f t="shared" si="311"/>
        <v>5.8254000000000001</v>
      </c>
      <c r="L712" s="69">
        <f t="shared" si="312"/>
        <v>8679846</v>
      </c>
      <c r="M712" s="70"/>
      <c r="N712" s="70"/>
      <c r="O712" s="69">
        <f t="shared" si="327"/>
        <v>8679846</v>
      </c>
      <c r="P712" s="71">
        <f t="shared" si="322"/>
        <v>724113.17999999993</v>
      </c>
      <c r="Q712" s="54"/>
      <c r="R712" s="71">
        <f t="shared" si="309"/>
        <v>724113.17999999993</v>
      </c>
      <c r="S712" s="71">
        <f t="shared" si="328"/>
        <v>7955732.8200000003</v>
      </c>
      <c r="T712" s="41"/>
    </row>
    <row r="713" spans="1:20" ht="17.25" customHeight="1">
      <c r="A713" s="21">
        <v>26</v>
      </c>
      <c r="B713" s="39" t="s">
        <v>21</v>
      </c>
      <c r="C713" s="26" t="s">
        <v>58</v>
      </c>
      <c r="D713" s="55" t="s">
        <v>27</v>
      </c>
      <c r="E713" s="24">
        <v>3.66</v>
      </c>
      <c r="F713" s="56"/>
      <c r="G713" s="14"/>
      <c r="H713" s="10"/>
      <c r="I713" s="48">
        <f>(E713+F713+G713)*12%</f>
        <v>0.43919999999999998</v>
      </c>
      <c r="J713" s="49">
        <f t="shared" si="326"/>
        <v>1.0980000000000001</v>
      </c>
      <c r="K713" s="50">
        <f t="shared" si="311"/>
        <v>5.1971999999999996</v>
      </c>
      <c r="L713" s="51">
        <f t="shared" si="312"/>
        <v>7743827.9999999991</v>
      </c>
      <c r="M713" s="58"/>
      <c r="N713" s="58"/>
      <c r="O713" s="51">
        <f t="shared" si="327"/>
        <v>7743827.9999999991</v>
      </c>
      <c r="P713" s="53">
        <f t="shared" si="322"/>
        <v>641319.84</v>
      </c>
      <c r="Q713" s="54"/>
      <c r="R713" s="53">
        <f t="shared" si="309"/>
        <v>641319.84</v>
      </c>
      <c r="S713" s="53">
        <f>O713-R713</f>
        <v>7102508.1599999992</v>
      </c>
      <c r="T713" s="41"/>
    </row>
    <row r="714" spans="1:20" ht="17.25" customHeight="1">
      <c r="A714" s="21">
        <v>27</v>
      </c>
      <c r="B714" s="39" t="s">
        <v>21</v>
      </c>
      <c r="C714" s="40" t="s">
        <v>44</v>
      </c>
      <c r="D714" s="55" t="s">
        <v>27</v>
      </c>
      <c r="E714" s="24">
        <v>3.99</v>
      </c>
      <c r="F714" s="56"/>
      <c r="G714" s="14"/>
      <c r="H714" s="10"/>
      <c r="I714" s="48">
        <f>(E714+F714+G714)*15/100</f>
        <v>0.59850000000000003</v>
      </c>
      <c r="J714" s="49">
        <f>30/100*(E714+F714+G714)</f>
        <v>1.1970000000000001</v>
      </c>
      <c r="K714" s="50">
        <f t="shared" si="311"/>
        <v>5.7854999999999999</v>
      </c>
      <c r="L714" s="51">
        <f t="shared" si="312"/>
        <v>8620395</v>
      </c>
      <c r="M714" s="58"/>
      <c r="N714" s="58"/>
      <c r="O714" s="51">
        <f t="shared" si="327"/>
        <v>8620395</v>
      </c>
      <c r="P714" s="53">
        <f t="shared" si="322"/>
        <v>717870.82499999995</v>
      </c>
      <c r="Q714" s="54"/>
      <c r="R714" s="53">
        <f t="shared" si="309"/>
        <v>717870.82499999995</v>
      </c>
      <c r="S714" s="53">
        <f t="shared" ref="S714" si="329">O714-R714</f>
        <v>7902524.1749999998</v>
      </c>
      <c r="T714" s="41"/>
    </row>
    <row r="715" spans="1:20" ht="17.25" customHeight="1">
      <c r="A715" s="21">
        <v>28</v>
      </c>
      <c r="B715" s="39" t="s">
        <v>53</v>
      </c>
      <c r="C715" s="73" t="s">
        <v>75</v>
      </c>
      <c r="D715" s="55" t="s">
        <v>83</v>
      </c>
      <c r="E715" s="74">
        <v>3.46</v>
      </c>
      <c r="F715" s="56">
        <v>0.15</v>
      </c>
      <c r="G715" s="14"/>
      <c r="H715" s="10"/>
      <c r="I715" s="48"/>
      <c r="J715" s="49"/>
      <c r="K715" s="50">
        <f>E715+F715+G715+H715+I715+J715</f>
        <v>3.61</v>
      </c>
      <c r="L715" s="51">
        <f>K715*1490000</f>
        <v>5378900</v>
      </c>
      <c r="M715" s="65"/>
      <c r="N715" s="75"/>
      <c r="O715" s="51">
        <f>L715-M715+N715</f>
        <v>5378900</v>
      </c>
      <c r="P715" s="53">
        <f>((E715+F715+G715+I715)*1490000)*10.5%</f>
        <v>564784.5</v>
      </c>
      <c r="Q715" s="54"/>
      <c r="R715" s="53">
        <f t="shared" si="309"/>
        <v>564784.5</v>
      </c>
      <c r="S715" s="53">
        <f>O715-R715</f>
        <v>4814115.5</v>
      </c>
      <c r="T715" s="41"/>
    </row>
    <row r="716" spans="1:20" ht="17.25" customHeight="1">
      <c r="A716" s="21">
        <v>29</v>
      </c>
      <c r="B716" s="39" t="s">
        <v>89</v>
      </c>
      <c r="C716" s="42" t="s">
        <v>46</v>
      </c>
      <c r="D716" s="55" t="s">
        <v>27</v>
      </c>
      <c r="E716" s="24">
        <v>4</v>
      </c>
      <c r="F716" s="24"/>
      <c r="G716" s="14"/>
      <c r="H716" s="10"/>
      <c r="I716" s="48">
        <f>(E716+F716+G716)*14%</f>
        <v>0.56000000000000005</v>
      </c>
      <c r="J716" s="49">
        <f>30/100*(E716+F716+G716)</f>
        <v>1.2</v>
      </c>
      <c r="K716" s="50">
        <f t="shared" ref="K716:K718" si="330">E716+F716+G716+H716+I716+J716</f>
        <v>5.7600000000000007</v>
      </c>
      <c r="L716" s="51">
        <f>K716*1490000</f>
        <v>8582400.0000000019</v>
      </c>
      <c r="M716" s="58"/>
      <c r="N716" s="58"/>
      <c r="O716" s="51">
        <f t="shared" ref="O716:O724" si="331">L716-M716+N716</f>
        <v>8582400.0000000019</v>
      </c>
      <c r="P716" s="53">
        <f>((E716+F716+G716+I716)*1490000-M716)*10.5%</f>
        <v>713412.00000000012</v>
      </c>
      <c r="Q716" s="54"/>
      <c r="R716" s="53">
        <f t="shared" si="309"/>
        <v>713412.00000000012</v>
      </c>
      <c r="S716" s="76">
        <f t="shared" ref="S716:S717" si="332">O716-R716</f>
        <v>7868988.0000000019</v>
      </c>
      <c r="T716" s="41"/>
    </row>
    <row r="717" spans="1:20" ht="17.25" customHeight="1">
      <c r="A717" s="21">
        <v>30</v>
      </c>
      <c r="B717" s="39" t="s">
        <v>21</v>
      </c>
      <c r="C717" s="40" t="s">
        <v>47</v>
      </c>
      <c r="D717" s="55" t="s">
        <v>27</v>
      </c>
      <c r="E717" s="24">
        <v>3.99</v>
      </c>
      <c r="F717" s="24"/>
      <c r="G717" s="14"/>
      <c r="H717" s="10"/>
      <c r="I717" s="48">
        <f>(E717+F717+G717)*16%</f>
        <v>0.63840000000000008</v>
      </c>
      <c r="J717" s="49">
        <f t="shared" ref="J717" si="333">30/100*(E717+F717+G717)</f>
        <v>1.1970000000000001</v>
      </c>
      <c r="K717" s="50">
        <f t="shared" si="330"/>
        <v>5.8254000000000001</v>
      </c>
      <c r="L717" s="51">
        <f t="shared" ref="L717:L720" si="334">K717*1490000</f>
        <v>8679846</v>
      </c>
      <c r="M717" s="53"/>
      <c r="N717" s="58"/>
      <c r="O717" s="51">
        <f t="shared" si="331"/>
        <v>8679846</v>
      </c>
      <c r="P717" s="53">
        <f t="shared" ref="P717:P718" si="335">((E717+F717+G717+I717)*1490000-M717)*10.5%</f>
        <v>724113.17999999993</v>
      </c>
      <c r="Q717" s="54"/>
      <c r="R717" s="53">
        <f t="shared" si="309"/>
        <v>724113.17999999993</v>
      </c>
      <c r="S717" s="76">
        <f t="shared" si="332"/>
        <v>7955732.8200000003</v>
      </c>
      <c r="T717" s="41"/>
    </row>
    <row r="718" spans="1:20" ht="17.25" customHeight="1">
      <c r="A718" s="21">
        <v>31</v>
      </c>
      <c r="B718" s="39" t="s">
        <v>21</v>
      </c>
      <c r="C718" s="40" t="s">
        <v>48</v>
      </c>
      <c r="D718" s="55" t="s">
        <v>27</v>
      </c>
      <c r="E718" s="24">
        <v>3.99</v>
      </c>
      <c r="F718" s="24"/>
      <c r="G718" s="14"/>
      <c r="H718" s="10"/>
      <c r="I718" s="48">
        <f>(E718+F718+G718)*14%</f>
        <v>0.5586000000000001</v>
      </c>
      <c r="J718" s="49">
        <f>30/100*(E718+F718+G718)</f>
        <v>1.1970000000000001</v>
      </c>
      <c r="K718" s="50">
        <f t="shared" si="330"/>
        <v>5.7456000000000005</v>
      </c>
      <c r="L718" s="51">
        <f t="shared" si="334"/>
        <v>8560944</v>
      </c>
      <c r="M718" s="53"/>
      <c r="N718" s="58"/>
      <c r="O718" s="51">
        <f t="shared" si="331"/>
        <v>8560944</v>
      </c>
      <c r="P718" s="53">
        <f t="shared" si="335"/>
        <v>711628.47000000009</v>
      </c>
      <c r="Q718" s="54"/>
      <c r="R718" s="53">
        <f t="shared" si="309"/>
        <v>711628.47000000009</v>
      </c>
      <c r="S718" s="76">
        <f>O718-R718</f>
        <v>7849315.5300000003</v>
      </c>
      <c r="T718" s="41"/>
    </row>
    <row r="719" spans="1:20" ht="17.25" customHeight="1">
      <c r="A719" s="21">
        <v>32</v>
      </c>
      <c r="B719" s="39" t="s">
        <v>21</v>
      </c>
      <c r="C719" s="40" t="s">
        <v>92</v>
      </c>
      <c r="D719" s="55" t="s">
        <v>27</v>
      </c>
      <c r="E719" s="24">
        <v>3.33</v>
      </c>
      <c r="F719" s="24"/>
      <c r="G719" s="14"/>
      <c r="H719" s="10"/>
      <c r="I719" s="48">
        <f>(E719+F719+G719)*10%</f>
        <v>0.33300000000000002</v>
      </c>
      <c r="J719" s="49">
        <f>30/100*(E719+F719+G719)</f>
        <v>0.999</v>
      </c>
      <c r="K719" s="50">
        <f>E719+F719+G719+H719+I719+J719</f>
        <v>4.6619999999999999</v>
      </c>
      <c r="L719" s="51">
        <f t="shared" si="334"/>
        <v>6946380</v>
      </c>
      <c r="M719" s="53"/>
      <c r="N719" s="53"/>
      <c r="O719" s="51">
        <f t="shared" si="331"/>
        <v>6946380</v>
      </c>
      <c r="P719" s="53">
        <f>((E719+F719+G719+I719)*1490000)*10.5%</f>
        <v>573076.35</v>
      </c>
      <c r="Q719" s="54"/>
      <c r="R719" s="53">
        <f t="shared" si="309"/>
        <v>573076.35</v>
      </c>
      <c r="S719" s="76">
        <f t="shared" ref="S719:S720" si="336">O719-R719</f>
        <v>6373303.6500000004</v>
      </c>
      <c r="T719" s="41"/>
    </row>
    <row r="720" spans="1:20" ht="17.25" customHeight="1">
      <c r="A720" s="21">
        <v>33</v>
      </c>
      <c r="B720" s="39" t="s">
        <v>21</v>
      </c>
      <c r="C720" s="40" t="s">
        <v>93</v>
      </c>
      <c r="D720" s="55" t="s">
        <v>27</v>
      </c>
      <c r="E720" s="24">
        <v>3.66</v>
      </c>
      <c r="F720" s="24"/>
      <c r="G720" s="14"/>
      <c r="H720" s="10"/>
      <c r="I720" s="48">
        <f>(E720+F720+G720)*12%</f>
        <v>0.43919999999999998</v>
      </c>
      <c r="J720" s="49">
        <f>30/100*(E720+F720+G720)</f>
        <v>1.0980000000000001</v>
      </c>
      <c r="K720" s="50">
        <f>E720+F720+G720+H720+I720+J720</f>
        <v>5.1971999999999996</v>
      </c>
      <c r="L720" s="51">
        <f t="shared" si="334"/>
        <v>7743827.9999999991</v>
      </c>
      <c r="M720" s="53"/>
      <c r="N720" s="53"/>
      <c r="O720" s="51">
        <f t="shared" si="331"/>
        <v>7743827.9999999991</v>
      </c>
      <c r="P720" s="53">
        <f>((E720+F720+G720+I720)*1490000)*10.5%</f>
        <v>641319.84</v>
      </c>
      <c r="Q720" s="54"/>
      <c r="R720" s="53">
        <f t="shared" si="309"/>
        <v>641319.84</v>
      </c>
      <c r="S720" s="76">
        <f t="shared" si="336"/>
        <v>7102508.1599999992</v>
      </c>
      <c r="T720" s="41"/>
    </row>
    <row r="721" spans="1:22" ht="17.25" customHeight="1">
      <c r="A721" s="21">
        <v>34</v>
      </c>
      <c r="B721" s="39" t="s">
        <v>94</v>
      </c>
      <c r="C721" s="42" t="s">
        <v>95</v>
      </c>
      <c r="D721" s="77" t="s">
        <v>27</v>
      </c>
      <c r="E721" s="24">
        <v>3</v>
      </c>
      <c r="F721" s="24"/>
      <c r="G721" s="14"/>
      <c r="H721" s="11"/>
      <c r="I721" s="48"/>
      <c r="J721" s="49">
        <f>30/100*(E721+F721+G721)</f>
        <v>0.89999999999999991</v>
      </c>
      <c r="K721" s="50">
        <f>E721+F721+G721+H721+I721+J721</f>
        <v>3.9</v>
      </c>
      <c r="L721" s="51">
        <f>K721*1490000</f>
        <v>5811000</v>
      </c>
      <c r="M721" s="65"/>
      <c r="N721" s="65"/>
      <c r="O721" s="51">
        <f t="shared" si="331"/>
        <v>5811000</v>
      </c>
      <c r="P721" s="53">
        <f t="shared" ref="P721:P722" si="337">((E721+F721+G721+I721)*1490000-M721)*10.5%</f>
        <v>469350</v>
      </c>
      <c r="Q721" s="54"/>
      <c r="R721" s="53">
        <f t="shared" si="309"/>
        <v>469350</v>
      </c>
      <c r="S721" s="76">
        <f>O721-R721-N721</f>
        <v>5341650</v>
      </c>
      <c r="T721" s="41"/>
    </row>
    <row r="722" spans="1:22" ht="17.25" customHeight="1">
      <c r="A722" s="21">
        <v>35</v>
      </c>
      <c r="B722" s="39" t="s">
        <v>23</v>
      </c>
      <c r="C722" s="40" t="s">
        <v>49</v>
      </c>
      <c r="D722" s="55" t="s">
        <v>45</v>
      </c>
      <c r="E722" s="24">
        <v>3.34</v>
      </c>
      <c r="F722" s="24"/>
      <c r="G722" s="14"/>
      <c r="H722" s="24">
        <v>0.2</v>
      </c>
      <c r="I722" s="48"/>
      <c r="J722" s="49"/>
      <c r="K722" s="50">
        <f t="shared" ref="K722" si="338">E722+F722+G722+H722+I722+J722</f>
        <v>3.54</v>
      </c>
      <c r="L722" s="51">
        <f t="shared" ref="L722" si="339">K722*1490000</f>
        <v>5274600</v>
      </c>
      <c r="M722" s="53"/>
      <c r="N722" s="58"/>
      <c r="O722" s="51">
        <f t="shared" si="331"/>
        <v>5274600</v>
      </c>
      <c r="P722" s="53">
        <f t="shared" si="337"/>
        <v>522543</v>
      </c>
      <c r="Q722" s="54"/>
      <c r="R722" s="53">
        <f t="shared" si="309"/>
        <v>522543</v>
      </c>
      <c r="S722" s="76">
        <f>O722-R722</f>
        <v>4752057</v>
      </c>
      <c r="T722" s="41"/>
    </row>
    <row r="723" spans="1:22" ht="17.25" customHeight="1">
      <c r="A723" s="21">
        <v>36</v>
      </c>
      <c r="B723" s="39" t="s">
        <v>52</v>
      </c>
      <c r="C723" s="40" t="s">
        <v>50</v>
      </c>
      <c r="D723" s="77" t="s">
        <v>45</v>
      </c>
      <c r="E723" s="24">
        <v>2.86</v>
      </c>
      <c r="F723" s="24"/>
      <c r="G723" s="14"/>
      <c r="H723" s="24">
        <v>0.2</v>
      </c>
      <c r="I723" s="48"/>
      <c r="J723" s="49"/>
      <c r="K723" s="50">
        <f>E723+F723+G723+H723+I723+J723</f>
        <v>3.06</v>
      </c>
      <c r="L723" s="51">
        <f>K723*1490000</f>
        <v>4559400</v>
      </c>
      <c r="M723" s="53"/>
      <c r="N723" s="51"/>
      <c r="O723" s="51">
        <f t="shared" si="331"/>
        <v>4559400</v>
      </c>
      <c r="P723" s="53">
        <f>((E723+F723+G723+I723)*1490000)*10.5%</f>
        <v>447447</v>
      </c>
      <c r="Q723" s="54"/>
      <c r="R723" s="53">
        <f t="shared" si="309"/>
        <v>447447</v>
      </c>
      <c r="S723" s="76">
        <f>O723-R723</f>
        <v>4111953</v>
      </c>
      <c r="T723" s="41"/>
    </row>
    <row r="724" spans="1:22" ht="17.25" customHeight="1">
      <c r="A724" s="21">
        <v>37</v>
      </c>
      <c r="B724" s="39" t="s">
        <v>54</v>
      </c>
      <c r="C724" s="40" t="s">
        <v>51</v>
      </c>
      <c r="D724" s="77" t="s">
        <v>96</v>
      </c>
      <c r="E724" s="24"/>
      <c r="F724" s="24"/>
      <c r="G724" s="14"/>
      <c r="H724" s="11"/>
      <c r="I724" s="48"/>
      <c r="J724" s="49"/>
      <c r="K724" s="50"/>
      <c r="L724" s="51">
        <v>4160000</v>
      </c>
      <c r="M724" s="53"/>
      <c r="N724" s="58"/>
      <c r="O724" s="51">
        <f t="shared" si="331"/>
        <v>4160000</v>
      </c>
      <c r="P724" s="53">
        <f>O724*10.5%</f>
        <v>436800</v>
      </c>
      <c r="Q724" s="54"/>
      <c r="R724" s="53">
        <f t="shared" si="309"/>
        <v>436800</v>
      </c>
      <c r="S724" s="76">
        <f>O724-R724</f>
        <v>3723200</v>
      </c>
      <c r="T724" s="2"/>
      <c r="V724" s="8"/>
    </row>
    <row r="725" spans="1:22" ht="17.25" customHeight="1">
      <c r="A725" s="2"/>
      <c r="B725" s="2"/>
      <c r="C725" s="3" t="s">
        <v>14</v>
      </c>
      <c r="D725" s="5"/>
      <c r="E725" s="27">
        <f t="shared" ref="E725" si="340">SUM(E688:E724)</f>
        <v>151.68</v>
      </c>
      <c r="F725" s="78">
        <f>SUM(F688:F724)</f>
        <v>2.1999999999999997</v>
      </c>
      <c r="G725" s="27">
        <f>SUM(G688:G724)</f>
        <v>1.1907000000000001</v>
      </c>
      <c r="H725" s="78">
        <f>SUM(H688:H724)</f>
        <v>0.60000000000000009</v>
      </c>
      <c r="I725" s="27">
        <f>SUM(I688:I724)</f>
        <v>27.260023</v>
      </c>
      <c r="J725" s="27">
        <f t="shared" ref="J725" si="341">SUM(J688:J724)</f>
        <v>42.237210000000012</v>
      </c>
      <c r="K725" s="27">
        <f>SUM(K688:K724)</f>
        <v>225.16793300000003</v>
      </c>
      <c r="L725" s="28">
        <f t="shared" ref="L725:O725" si="342">SUM(L688:L724)</f>
        <v>339660220.17000002</v>
      </c>
      <c r="M725" s="75">
        <f t="shared" si="342"/>
        <v>0</v>
      </c>
      <c r="N725" s="75">
        <f t="shared" si="342"/>
        <v>0</v>
      </c>
      <c r="O725" s="28">
        <f t="shared" si="342"/>
        <v>339660220.17000002</v>
      </c>
      <c r="P725" s="28">
        <f>SUM(P688:P724)</f>
        <v>28863225.493349999</v>
      </c>
      <c r="Q725" s="28">
        <f>SUM(Q688:Q724)</f>
        <v>0</v>
      </c>
      <c r="R725" s="28">
        <f t="shared" ref="R725" si="343">SUM(R688:R724)</f>
        <v>28863225.493349999</v>
      </c>
      <c r="S725" s="32">
        <f>SUM(S688:S724)</f>
        <v>310796994.67664993</v>
      </c>
      <c r="T725" s="2"/>
    </row>
    <row r="726" spans="1:22">
      <c r="E726" s="9"/>
      <c r="F726" s="9"/>
      <c r="G726" s="9"/>
      <c r="H726" s="9"/>
      <c r="I726" s="19"/>
      <c r="J726" s="17"/>
    </row>
    <row r="727" spans="1:22">
      <c r="A727" s="1" t="s">
        <v>100</v>
      </c>
      <c r="D727" s="210" t="s">
        <v>343</v>
      </c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</row>
    <row r="728" spans="1:22" ht="15.75">
      <c r="A728" s="6"/>
      <c r="E728" s="9"/>
      <c r="F728" s="9"/>
      <c r="G728" s="9"/>
      <c r="H728" s="9"/>
      <c r="I728" s="19"/>
      <c r="J728" s="17"/>
      <c r="S728" s="15"/>
    </row>
    <row r="729" spans="1:22">
      <c r="A729" s="7"/>
      <c r="B729" s="7"/>
      <c r="C729" s="7"/>
      <c r="D729" s="211"/>
      <c r="E729" s="212"/>
      <c r="F729" s="212"/>
      <c r="G729" s="37"/>
      <c r="H729" s="37"/>
      <c r="I729" s="19"/>
      <c r="J729" s="17"/>
      <c r="N729" s="43"/>
      <c r="O729" s="43"/>
      <c r="P729" s="213" t="s">
        <v>340</v>
      </c>
      <c r="Q729" s="213"/>
      <c r="R729" s="213"/>
      <c r="S729" s="213"/>
    </row>
    <row r="730" spans="1:22">
      <c r="A730" s="214" t="s">
        <v>77</v>
      </c>
      <c r="B730" s="214"/>
      <c r="C730" s="214"/>
      <c r="D730" s="214"/>
      <c r="E730" s="214"/>
      <c r="F730" s="9"/>
      <c r="G730" s="44"/>
      <c r="H730" s="44"/>
      <c r="I730" s="19"/>
      <c r="J730" s="214" t="s">
        <v>79</v>
      </c>
      <c r="K730" s="214"/>
      <c r="L730" s="214"/>
      <c r="M730" s="214"/>
      <c r="P730" s="215" t="s">
        <v>65</v>
      </c>
      <c r="Q730" s="215"/>
      <c r="R730" s="215"/>
      <c r="S730" s="215"/>
    </row>
    <row r="731" spans="1:22">
      <c r="A731" s="216" t="s">
        <v>78</v>
      </c>
      <c r="B731" s="216"/>
      <c r="C731" s="216"/>
      <c r="D731" s="216"/>
      <c r="E731" s="9"/>
      <c r="F731" s="9"/>
      <c r="G731" s="9"/>
      <c r="H731" s="9"/>
      <c r="I731" s="19"/>
      <c r="J731" s="216" t="s">
        <v>80</v>
      </c>
      <c r="K731" s="216"/>
      <c r="L731" s="216"/>
      <c r="P731" s="217" t="s">
        <v>66</v>
      </c>
      <c r="Q731" s="217"/>
      <c r="R731" s="217"/>
      <c r="S731" s="217"/>
    </row>
    <row r="732" spans="1:22">
      <c r="E732" s="9"/>
      <c r="F732" s="9"/>
      <c r="G732" s="9"/>
      <c r="H732" s="9"/>
      <c r="I732" s="19"/>
      <c r="J732" s="17"/>
    </row>
    <row r="733" spans="1:22">
      <c r="B733" s="152"/>
      <c r="C733" s="79"/>
      <c r="D733" s="152"/>
      <c r="E733" s="9"/>
      <c r="F733" s="9"/>
      <c r="G733" s="9"/>
      <c r="H733" s="9"/>
      <c r="I733" s="19"/>
      <c r="J733" s="17"/>
    </row>
    <row r="734" spans="1:22" ht="15.75">
      <c r="B734" s="152"/>
      <c r="C734" s="153"/>
      <c r="D734" s="152"/>
      <c r="E734" s="9"/>
      <c r="F734" s="9"/>
      <c r="G734" s="9"/>
      <c r="H734" s="9"/>
      <c r="I734" s="19"/>
      <c r="J734" s="17"/>
      <c r="L734" s="12"/>
      <c r="P734" s="16"/>
    </row>
    <row r="735" spans="1:22" ht="15.75">
      <c r="B735" s="152"/>
      <c r="C735" s="153"/>
      <c r="D735" s="152"/>
      <c r="E735" s="9"/>
      <c r="F735" s="9"/>
      <c r="G735" s="9"/>
      <c r="H735" s="9"/>
      <c r="I735" s="19"/>
      <c r="J735" s="17"/>
    </row>
    <row r="736" spans="1:22" ht="15.75">
      <c r="B736" s="208" t="s">
        <v>267</v>
      </c>
      <c r="C736" s="208"/>
      <c r="D736" s="208"/>
      <c r="E736" s="9"/>
      <c r="F736" s="9"/>
      <c r="G736" s="9"/>
      <c r="H736" s="9"/>
      <c r="I736" s="19"/>
      <c r="J736" s="209" t="s">
        <v>59</v>
      </c>
      <c r="K736" s="209"/>
      <c r="L736" s="209"/>
      <c r="M736" s="209"/>
      <c r="P736" s="209" t="s">
        <v>81</v>
      </c>
      <c r="Q736" s="209"/>
      <c r="R736" s="209"/>
      <c r="S736" s="209"/>
    </row>
    <row r="741" spans="1:20" ht="15.75">
      <c r="A741" s="227" t="s">
        <v>55</v>
      </c>
      <c r="B741" s="227"/>
      <c r="C741" s="227"/>
      <c r="D741" s="227"/>
      <c r="E741" s="227"/>
      <c r="F741" s="227"/>
      <c r="G741" s="227"/>
      <c r="H741" s="227"/>
      <c r="I741" s="19"/>
      <c r="J741" s="17"/>
      <c r="Q741" s="228" t="s">
        <v>344</v>
      </c>
      <c r="R741" s="228"/>
      <c r="S741" s="228"/>
    </row>
    <row r="742" spans="1:20">
      <c r="A742" s="229" t="s">
        <v>67</v>
      </c>
      <c r="B742" s="229"/>
      <c r="C742" s="229"/>
      <c r="D742" s="229"/>
      <c r="E742" s="229"/>
      <c r="F742" s="229"/>
      <c r="G742" s="229"/>
      <c r="H742" s="9"/>
      <c r="I742" s="19"/>
      <c r="J742" s="17"/>
      <c r="R742" s="230" t="s">
        <v>68</v>
      </c>
      <c r="S742" s="230"/>
    </row>
    <row r="743" spans="1:20" ht="15.75">
      <c r="A743" s="227" t="s">
        <v>56</v>
      </c>
      <c r="B743" s="227"/>
      <c r="C743" s="227"/>
      <c r="D743" s="227"/>
      <c r="E743" s="227"/>
      <c r="F743" s="227"/>
      <c r="G743" s="227"/>
      <c r="H743" s="9"/>
      <c r="I743" s="19"/>
      <c r="J743" s="17"/>
      <c r="R743" s="29" t="s">
        <v>63</v>
      </c>
    </row>
    <row r="744" spans="1:20" ht="20.25">
      <c r="A744" s="231" t="s">
        <v>76</v>
      </c>
      <c r="B744" s="231"/>
      <c r="C744" s="231"/>
      <c r="D744" s="231"/>
      <c r="E744" s="231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</row>
    <row r="745" spans="1:20" ht="18.75">
      <c r="A745" s="232" t="s">
        <v>357</v>
      </c>
      <c r="B745" s="232"/>
      <c r="C745" s="232"/>
      <c r="D745" s="232"/>
      <c r="E745" s="232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</row>
    <row r="746" spans="1:20">
      <c r="A746" s="225" t="s">
        <v>0</v>
      </c>
      <c r="B746" s="226" t="s">
        <v>1</v>
      </c>
      <c r="C746" s="226" t="s">
        <v>2</v>
      </c>
      <c r="D746" s="226" t="s">
        <v>3</v>
      </c>
      <c r="E746" s="226" t="s">
        <v>20</v>
      </c>
      <c r="F746" s="226"/>
      <c r="G746" s="226"/>
      <c r="H746" s="226"/>
      <c r="I746" s="226"/>
      <c r="J746" s="226"/>
      <c r="K746" s="226"/>
      <c r="L746" s="226"/>
      <c r="M746" s="233" t="s">
        <v>9</v>
      </c>
      <c r="N746" s="233" t="s">
        <v>11</v>
      </c>
      <c r="O746" s="226" t="s">
        <v>12</v>
      </c>
      <c r="P746" s="234" t="s">
        <v>13</v>
      </c>
      <c r="Q746" s="235"/>
      <c r="R746" s="236"/>
      <c r="S746" s="226" t="s">
        <v>15</v>
      </c>
      <c r="T746" s="218" t="s">
        <v>57</v>
      </c>
    </row>
    <row r="747" spans="1:20">
      <c r="A747" s="225"/>
      <c r="B747" s="226"/>
      <c r="C747" s="226"/>
      <c r="D747" s="226"/>
      <c r="E747" s="221" t="s">
        <v>4</v>
      </c>
      <c r="F747" s="222" t="s">
        <v>5</v>
      </c>
      <c r="G747" s="223" t="s">
        <v>6</v>
      </c>
      <c r="H747" s="223"/>
      <c r="I747" s="223"/>
      <c r="J747" s="223"/>
      <c r="K747" s="224" t="s">
        <v>7</v>
      </c>
      <c r="L747" s="224" t="s">
        <v>8</v>
      </c>
      <c r="M747" s="233"/>
      <c r="N747" s="233"/>
      <c r="O747" s="226"/>
      <c r="P747" s="225" t="s">
        <v>10</v>
      </c>
      <c r="Q747" s="226" t="s">
        <v>85</v>
      </c>
      <c r="R747" s="225" t="s">
        <v>14</v>
      </c>
      <c r="S747" s="226"/>
      <c r="T747" s="219"/>
    </row>
    <row r="748" spans="1:20" ht="63">
      <c r="A748" s="225"/>
      <c r="B748" s="226"/>
      <c r="C748" s="226"/>
      <c r="D748" s="226"/>
      <c r="E748" s="221"/>
      <c r="F748" s="222"/>
      <c r="G748" s="202" t="s">
        <v>26</v>
      </c>
      <c r="H748" s="202" t="s">
        <v>86</v>
      </c>
      <c r="I748" s="20" t="s">
        <v>24</v>
      </c>
      <c r="J748" s="18" t="s">
        <v>25</v>
      </c>
      <c r="K748" s="224"/>
      <c r="L748" s="224"/>
      <c r="M748" s="233"/>
      <c r="N748" s="233"/>
      <c r="O748" s="226"/>
      <c r="P748" s="225"/>
      <c r="Q748" s="226"/>
      <c r="R748" s="225"/>
      <c r="S748" s="226"/>
      <c r="T748" s="220"/>
    </row>
    <row r="749" spans="1:20">
      <c r="A749" s="4" t="s">
        <v>16</v>
      </c>
      <c r="B749" s="4" t="s">
        <v>17</v>
      </c>
      <c r="C749" s="4" t="s">
        <v>18</v>
      </c>
      <c r="D749" s="4" t="s">
        <v>19</v>
      </c>
      <c r="E749" s="13">
        <v>1</v>
      </c>
      <c r="F749" s="13">
        <v>2</v>
      </c>
      <c r="G749" s="13">
        <v>3</v>
      </c>
      <c r="H749" s="13">
        <v>4</v>
      </c>
      <c r="I749" s="13">
        <v>5</v>
      </c>
      <c r="J749" s="23">
        <v>6</v>
      </c>
      <c r="K749" s="4">
        <v>7</v>
      </c>
      <c r="L749" s="4">
        <v>8</v>
      </c>
      <c r="M749" s="4">
        <v>9</v>
      </c>
      <c r="N749" s="4">
        <v>10</v>
      </c>
      <c r="O749" s="30" t="s">
        <v>87</v>
      </c>
      <c r="P749" s="30">
        <v>12</v>
      </c>
      <c r="Q749" s="30">
        <v>13</v>
      </c>
      <c r="R749" s="30">
        <v>14</v>
      </c>
      <c r="S749" s="30" t="s">
        <v>88</v>
      </c>
      <c r="T749" s="2"/>
    </row>
    <row r="750" spans="1:20" ht="16.5">
      <c r="A750" s="21">
        <v>1</v>
      </c>
      <c r="B750" s="39" t="s">
        <v>89</v>
      </c>
      <c r="C750" s="42" t="s">
        <v>60</v>
      </c>
      <c r="D750" s="46" t="s">
        <v>61</v>
      </c>
      <c r="E750" s="47">
        <v>5.0199999999999996</v>
      </c>
      <c r="F750" s="47">
        <v>0.35</v>
      </c>
      <c r="G750" s="25"/>
      <c r="H750" s="22"/>
      <c r="I750" s="48">
        <f>(E750+F750+G750)*24/100</f>
        <v>1.2887999999999999</v>
      </c>
      <c r="J750" s="49">
        <f>30/100*(E750+F750+G750)</f>
        <v>1.6109999999999998</v>
      </c>
      <c r="K750" s="50">
        <f>E750+F750+G750+H750+I750+J750</f>
        <v>8.2698</v>
      </c>
      <c r="L750" s="51">
        <f>K750*1490000</f>
        <v>12322002</v>
      </c>
      <c r="M750" s="52"/>
      <c r="N750" s="52"/>
      <c r="O750" s="51">
        <f>L750-M750+N750</f>
        <v>12322002</v>
      </c>
      <c r="P750" s="53">
        <f>((E750+F750+G750+I750)*1490000-M750)*9.5%</f>
        <v>942553.14</v>
      </c>
      <c r="Q750" s="54"/>
      <c r="R750" s="53">
        <f>P750+Q750</f>
        <v>942553.14</v>
      </c>
      <c r="S750" s="53">
        <f>O750-R750</f>
        <v>11379448.859999999</v>
      </c>
      <c r="T750" s="41"/>
    </row>
    <row r="751" spans="1:20" ht="15.75">
      <c r="A751" s="21">
        <v>2</v>
      </c>
      <c r="B751" s="39" t="s">
        <v>21</v>
      </c>
      <c r="C751" s="40" t="s">
        <v>28</v>
      </c>
      <c r="D751" s="55" t="s">
        <v>27</v>
      </c>
      <c r="E751" s="24">
        <v>4.9800000000000004</v>
      </c>
      <c r="F751" s="56"/>
      <c r="G751" s="57">
        <f>E751*7%</f>
        <v>0.34860000000000008</v>
      </c>
      <c r="H751" s="10"/>
      <c r="I751" s="48">
        <f>(E751+F751+G751)*26/100</f>
        <v>1.3854360000000003</v>
      </c>
      <c r="J751" s="49">
        <f>30/100*(E751+F751+G751)</f>
        <v>1.5985800000000001</v>
      </c>
      <c r="K751" s="50">
        <f>E751+F751+G751+H751+I751+J751</f>
        <v>8.312616000000002</v>
      </c>
      <c r="L751" s="51">
        <f>K751*1490000</f>
        <v>12385797.840000004</v>
      </c>
      <c r="M751" s="58"/>
      <c r="N751" s="58"/>
      <c r="O751" s="51">
        <f>L751-M751+N751</f>
        <v>12385797.840000004</v>
      </c>
      <c r="P751" s="53">
        <f>((E751+F751+G751+I751)*1490000-M751)*10.5%</f>
        <v>1050410.9321999999</v>
      </c>
      <c r="Q751" s="54"/>
      <c r="R751" s="53">
        <f t="shared" ref="R751:R786" si="344">P751+Q751</f>
        <v>1050410.9321999999</v>
      </c>
      <c r="S751" s="53">
        <f t="shared" ref="S751" si="345">O751-R751</f>
        <v>11335386.907800004</v>
      </c>
      <c r="T751" s="59"/>
    </row>
    <row r="752" spans="1:20" ht="16.5">
      <c r="A752" s="21">
        <v>3</v>
      </c>
      <c r="B752" s="39" t="s">
        <v>22</v>
      </c>
      <c r="C752" s="40" t="s">
        <v>30</v>
      </c>
      <c r="D752" s="55" t="s">
        <v>90</v>
      </c>
      <c r="E752" s="24">
        <v>4.8899999999999997</v>
      </c>
      <c r="F752" s="47">
        <v>0.15</v>
      </c>
      <c r="G752" s="57">
        <f>E752*5%</f>
        <v>0.2445</v>
      </c>
      <c r="H752" s="10"/>
      <c r="I752" s="48">
        <f>(E752+F752+G752)*31/100</f>
        <v>1.6381950000000001</v>
      </c>
      <c r="J752" s="49">
        <f>30/100*(E752+F752+G752)</f>
        <v>1.58535</v>
      </c>
      <c r="K752" s="50">
        <f t="shared" ref="K752:K759" si="346">E752+F752+G752+H752+I752+J752</f>
        <v>8.508045000000001</v>
      </c>
      <c r="L752" s="51">
        <f t="shared" ref="L752:L759" si="347">K752*1490000</f>
        <v>12676987.050000001</v>
      </c>
      <c r="M752" s="58"/>
      <c r="N752" s="58"/>
      <c r="O752" s="51">
        <f t="shared" ref="O752:O769" si="348">L752-M752+N752</f>
        <v>12676987.050000001</v>
      </c>
      <c r="P752" s="53">
        <f t="shared" ref="P752:P756" si="349">((E752+F752+G752+I752)*1490000-M752)*10.5%</f>
        <v>1083055.6327500001</v>
      </c>
      <c r="Q752" s="54"/>
      <c r="R752" s="53">
        <f t="shared" si="344"/>
        <v>1083055.6327500001</v>
      </c>
      <c r="S752" s="53">
        <f>O752-R752</f>
        <v>11593931.41725</v>
      </c>
      <c r="T752" s="59"/>
    </row>
    <row r="753" spans="1:20" ht="15.75">
      <c r="A753" s="21">
        <v>4</v>
      </c>
      <c r="B753" s="39" t="s">
        <v>21</v>
      </c>
      <c r="C753" s="40" t="s">
        <v>32</v>
      </c>
      <c r="D753" s="55" t="s">
        <v>29</v>
      </c>
      <c r="E753" s="24">
        <v>4.9800000000000004</v>
      </c>
      <c r="F753" s="47">
        <v>0.2</v>
      </c>
      <c r="G753" s="57">
        <f>E753*5%</f>
        <v>0.24900000000000003</v>
      </c>
      <c r="H753" s="10"/>
      <c r="I753" s="48">
        <f>(E753+F753+G753)*23%</f>
        <v>1.2486700000000002</v>
      </c>
      <c r="J753" s="49">
        <f t="shared" ref="J753" si="350">30/100*(E753+F753+G753)</f>
        <v>1.6287</v>
      </c>
      <c r="K753" s="50">
        <f t="shared" si="346"/>
        <v>8.3063700000000011</v>
      </c>
      <c r="L753" s="51">
        <f t="shared" si="347"/>
        <v>12376491.300000003</v>
      </c>
      <c r="M753" s="58"/>
      <c r="N753" s="58"/>
      <c r="O753" s="51">
        <f t="shared" si="348"/>
        <v>12376491.300000003</v>
      </c>
      <c r="P753" s="53">
        <f t="shared" si="349"/>
        <v>1044721.4715</v>
      </c>
      <c r="Q753" s="54"/>
      <c r="R753" s="53">
        <f t="shared" si="344"/>
        <v>1044721.4715</v>
      </c>
      <c r="S753" s="53">
        <f t="shared" ref="S753" si="351">O753-R753</f>
        <v>11331769.828500003</v>
      </c>
      <c r="T753" s="59"/>
    </row>
    <row r="754" spans="1:20" ht="15.75">
      <c r="A754" s="21">
        <v>5</v>
      </c>
      <c r="B754" s="39" t="s">
        <v>21</v>
      </c>
      <c r="C754" s="40" t="s">
        <v>82</v>
      </c>
      <c r="D754" s="55" t="s">
        <v>29</v>
      </c>
      <c r="E754" s="24">
        <v>4.9800000000000004</v>
      </c>
      <c r="F754" s="47">
        <v>0.2</v>
      </c>
      <c r="G754" s="57">
        <f>E754*7%</f>
        <v>0.34860000000000008</v>
      </c>
      <c r="H754" s="10"/>
      <c r="I754" s="48">
        <f>(E754+F754+G754)*27%</f>
        <v>1.4927220000000003</v>
      </c>
      <c r="J754" s="49">
        <f>30/100*(E754+F754+G754)</f>
        <v>1.6585800000000002</v>
      </c>
      <c r="K754" s="50">
        <f t="shared" si="346"/>
        <v>8.679902000000002</v>
      </c>
      <c r="L754" s="51">
        <f t="shared" si="347"/>
        <v>12933053.980000002</v>
      </c>
      <c r="M754" s="58"/>
      <c r="N754" s="58"/>
      <c r="O754" s="51">
        <f t="shared" si="348"/>
        <v>12933053.980000002</v>
      </c>
      <c r="P754" s="53">
        <f t="shared" si="349"/>
        <v>1098485.8269</v>
      </c>
      <c r="Q754" s="54"/>
      <c r="R754" s="53">
        <f t="shared" si="344"/>
        <v>1098485.8269</v>
      </c>
      <c r="S754" s="53">
        <f>O754-R754</f>
        <v>11834568.153100003</v>
      </c>
      <c r="T754" s="59"/>
    </row>
    <row r="755" spans="1:20" ht="15.75">
      <c r="A755" s="21">
        <v>6</v>
      </c>
      <c r="B755" s="39" t="s">
        <v>21</v>
      </c>
      <c r="C755" s="40" t="s">
        <v>84</v>
      </c>
      <c r="D755" s="55" t="s">
        <v>62</v>
      </c>
      <c r="E755" s="24">
        <v>4.9800000000000004</v>
      </c>
      <c r="F755" s="47">
        <v>0.25</v>
      </c>
      <c r="G755" s="14"/>
      <c r="H755" s="10"/>
      <c r="I755" s="48">
        <f>(E755+F755+G755)*22%</f>
        <v>1.1506000000000001</v>
      </c>
      <c r="J755" s="49">
        <f t="shared" ref="J755" si="352">30/100*(E755+F755+G755)</f>
        <v>1.5690000000000002</v>
      </c>
      <c r="K755" s="50">
        <f t="shared" si="346"/>
        <v>7.9496000000000002</v>
      </c>
      <c r="L755" s="51">
        <f t="shared" si="347"/>
        <v>11844904</v>
      </c>
      <c r="M755" s="58"/>
      <c r="N755" s="58"/>
      <c r="O755" s="51">
        <f t="shared" si="348"/>
        <v>11844904</v>
      </c>
      <c r="P755" s="53">
        <f t="shared" si="349"/>
        <v>998244.87</v>
      </c>
      <c r="Q755" s="54"/>
      <c r="R755" s="53">
        <f t="shared" si="344"/>
        <v>998244.87</v>
      </c>
      <c r="S755" s="53">
        <f t="shared" ref="S755" si="353">O755-R755</f>
        <v>10846659.130000001</v>
      </c>
      <c r="T755" s="41"/>
    </row>
    <row r="756" spans="1:20" ht="16.5">
      <c r="A756" s="21">
        <v>7</v>
      </c>
      <c r="B756" s="39" t="s">
        <v>22</v>
      </c>
      <c r="C756" s="42" t="s">
        <v>31</v>
      </c>
      <c r="D756" s="55" t="s">
        <v>27</v>
      </c>
      <c r="E756" s="24">
        <v>4.8899999999999997</v>
      </c>
      <c r="F756" s="47"/>
      <c r="G756" s="57"/>
      <c r="H756" s="10"/>
      <c r="I756" s="48">
        <f>(E756+F756+G756)*27/100</f>
        <v>1.3203</v>
      </c>
      <c r="J756" s="49">
        <f>30/100*(E756+F756+G756)</f>
        <v>1.4669999999999999</v>
      </c>
      <c r="K756" s="50">
        <f t="shared" si="346"/>
        <v>7.6772999999999998</v>
      </c>
      <c r="L756" s="51">
        <f t="shared" si="347"/>
        <v>11439177</v>
      </c>
      <c r="M756" s="58"/>
      <c r="N756" s="58"/>
      <c r="O756" s="51">
        <f t="shared" si="348"/>
        <v>11439177</v>
      </c>
      <c r="P756" s="53">
        <f t="shared" si="349"/>
        <v>971601.43499999994</v>
      </c>
      <c r="Q756" s="54"/>
      <c r="R756" s="53">
        <f t="shared" si="344"/>
        <v>971601.43499999994</v>
      </c>
      <c r="S756" s="53">
        <f>O756-R756</f>
        <v>10467575.564999999</v>
      </c>
      <c r="T756" s="41"/>
    </row>
    <row r="757" spans="1:20" ht="15.75">
      <c r="A757" s="21">
        <v>8</v>
      </c>
      <c r="B757" s="39" t="s">
        <v>21</v>
      </c>
      <c r="C757" s="26" t="s">
        <v>70</v>
      </c>
      <c r="D757" s="55" t="s">
        <v>27</v>
      </c>
      <c r="E757" s="24">
        <v>4.9800000000000004</v>
      </c>
      <c r="F757" s="47"/>
      <c r="G757" s="14"/>
      <c r="H757" s="10"/>
      <c r="I757" s="48">
        <f>(E757+F757+G757)*23/100</f>
        <v>1.1454</v>
      </c>
      <c r="J757" s="49">
        <f t="shared" ref="J757:J759" si="354">30/100*(E757+F757+G757)</f>
        <v>1.494</v>
      </c>
      <c r="K757" s="50">
        <f t="shared" si="346"/>
        <v>7.6194000000000006</v>
      </c>
      <c r="L757" s="51">
        <f t="shared" si="347"/>
        <v>11352906</v>
      </c>
      <c r="M757" s="58"/>
      <c r="N757" s="58"/>
      <c r="O757" s="51">
        <f t="shared" si="348"/>
        <v>11352906</v>
      </c>
      <c r="P757" s="53">
        <f>((E757+F757+G757+I757)*1490000-M757)*10.5%</f>
        <v>958318.83000000019</v>
      </c>
      <c r="Q757" s="54"/>
      <c r="R757" s="53">
        <f t="shared" si="344"/>
        <v>958318.83000000019</v>
      </c>
      <c r="S757" s="53">
        <f>O757-R757</f>
        <v>10394587.17</v>
      </c>
      <c r="T757" s="41"/>
    </row>
    <row r="758" spans="1:20" ht="15.75">
      <c r="A758" s="21">
        <v>9</v>
      </c>
      <c r="B758" s="39" t="s">
        <v>21</v>
      </c>
      <c r="C758" s="26" t="s">
        <v>33</v>
      </c>
      <c r="D758" s="55" t="s">
        <v>29</v>
      </c>
      <c r="E758" s="24">
        <v>4.6500000000000004</v>
      </c>
      <c r="F758" s="47">
        <v>0.2</v>
      </c>
      <c r="G758" s="14"/>
      <c r="H758" s="10"/>
      <c r="I758" s="48">
        <f>(E758+F758+G758)*22/100</f>
        <v>1.0670000000000002</v>
      </c>
      <c r="J758" s="49">
        <f t="shared" si="354"/>
        <v>1.4550000000000001</v>
      </c>
      <c r="K758" s="50">
        <f t="shared" si="346"/>
        <v>7.3720000000000008</v>
      </c>
      <c r="L758" s="51">
        <f t="shared" si="347"/>
        <v>10984280.000000002</v>
      </c>
      <c r="M758" s="58"/>
      <c r="N758" s="58"/>
      <c r="O758" s="51">
        <f t="shared" si="348"/>
        <v>10984280.000000002</v>
      </c>
      <c r="P758" s="53">
        <f t="shared" ref="P758:P759" si="355">((E758+F758+G758+I758)*1490000-M758)*10.5%</f>
        <v>925714.65000000014</v>
      </c>
      <c r="Q758" s="54"/>
      <c r="R758" s="53">
        <f t="shared" si="344"/>
        <v>925714.65000000014</v>
      </c>
      <c r="S758" s="53">
        <f t="shared" ref="S758:S760" si="356">O758-R758</f>
        <v>10058565.350000001</v>
      </c>
      <c r="T758" s="41"/>
    </row>
    <row r="759" spans="1:20" ht="15.75">
      <c r="A759" s="21">
        <v>10</v>
      </c>
      <c r="B759" s="39" t="s">
        <v>21</v>
      </c>
      <c r="C759" s="26" t="s">
        <v>34</v>
      </c>
      <c r="D759" s="55" t="s">
        <v>27</v>
      </c>
      <c r="E759" s="24">
        <v>4.32</v>
      </c>
      <c r="F759" s="47"/>
      <c r="G759" s="14"/>
      <c r="H759" s="10"/>
      <c r="I759" s="48">
        <f>(E759+F759+G759)*19/100</f>
        <v>0.82080000000000009</v>
      </c>
      <c r="J759" s="49">
        <f t="shared" si="354"/>
        <v>1.296</v>
      </c>
      <c r="K759" s="50">
        <f t="shared" si="346"/>
        <v>6.4368000000000007</v>
      </c>
      <c r="L759" s="51">
        <f t="shared" si="347"/>
        <v>9590832.0000000019</v>
      </c>
      <c r="M759" s="58"/>
      <c r="N759" s="58"/>
      <c r="O759" s="51">
        <f t="shared" si="348"/>
        <v>9590832.0000000019</v>
      </c>
      <c r="P759" s="53">
        <f t="shared" si="355"/>
        <v>804278.16</v>
      </c>
      <c r="Q759" s="54"/>
      <c r="R759" s="53">
        <f t="shared" si="344"/>
        <v>804278.16</v>
      </c>
      <c r="S759" s="53">
        <f t="shared" si="356"/>
        <v>8786553.8400000017</v>
      </c>
      <c r="T759" s="41"/>
    </row>
    <row r="760" spans="1:20">
      <c r="A760" s="21">
        <v>11</v>
      </c>
      <c r="B760" s="39" t="s">
        <v>21</v>
      </c>
      <c r="C760" s="42" t="s">
        <v>36</v>
      </c>
      <c r="D760" s="55" t="s">
        <v>29</v>
      </c>
      <c r="E760" s="24">
        <v>4.32</v>
      </c>
      <c r="F760" s="47">
        <v>0.2</v>
      </c>
      <c r="G760" s="33"/>
      <c r="H760" s="35"/>
      <c r="I760" s="48">
        <f>(E760+F760+G760)*20%</f>
        <v>0.90400000000000014</v>
      </c>
      <c r="J760" s="49">
        <f>30/100*(E760+F760+G760)</f>
        <v>1.3560000000000001</v>
      </c>
      <c r="K760" s="50">
        <f>E760+F760+G760+H760+I760+J760</f>
        <v>6.78</v>
      </c>
      <c r="L760" s="51">
        <f>K760*1490000</f>
        <v>10102200</v>
      </c>
      <c r="M760" s="58"/>
      <c r="N760" s="58"/>
      <c r="O760" s="51">
        <f t="shared" si="348"/>
        <v>10102200</v>
      </c>
      <c r="P760" s="53">
        <f>((E760+F760+G760+I760)*1490000-M760)*10.5%</f>
        <v>848584.8</v>
      </c>
      <c r="Q760" s="54"/>
      <c r="R760" s="53">
        <f t="shared" si="344"/>
        <v>848584.8</v>
      </c>
      <c r="S760" s="53">
        <f t="shared" si="356"/>
        <v>9253615.1999999993</v>
      </c>
      <c r="T760" s="151"/>
    </row>
    <row r="761" spans="1:20">
      <c r="A761" s="21">
        <v>12</v>
      </c>
      <c r="B761" s="39" t="s">
        <v>64</v>
      </c>
      <c r="C761" s="26" t="s">
        <v>59</v>
      </c>
      <c r="D761" s="55" t="s">
        <v>35</v>
      </c>
      <c r="E761" s="24">
        <v>4.2699999999999996</v>
      </c>
      <c r="F761" s="47">
        <v>0.2</v>
      </c>
      <c r="G761" s="33"/>
      <c r="H761" s="34">
        <v>0.1</v>
      </c>
      <c r="I761" s="48"/>
      <c r="J761" s="49"/>
      <c r="K761" s="50">
        <f t="shared" ref="K761:K776" si="357">E761+F761+G761+H761+I761+J761</f>
        <v>4.5699999999999994</v>
      </c>
      <c r="L761" s="51">
        <f>K761*1490000</f>
        <v>6809299.9999999991</v>
      </c>
      <c r="M761" s="58"/>
      <c r="N761" s="58"/>
      <c r="O761" s="51">
        <f t="shared" si="348"/>
        <v>6809299.9999999991</v>
      </c>
      <c r="P761" s="53">
        <f>((E761+F761+G761+I761)*1490000-M761)*10.5%</f>
        <v>699331.5</v>
      </c>
      <c r="Q761" s="54"/>
      <c r="R761" s="53">
        <f t="shared" si="344"/>
        <v>699331.5</v>
      </c>
      <c r="S761" s="53">
        <f>O761-R761</f>
        <v>6109968.4999999991</v>
      </c>
      <c r="T761" s="151"/>
    </row>
    <row r="762" spans="1:20">
      <c r="A762" s="21">
        <v>13</v>
      </c>
      <c r="B762" s="39" t="s">
        <v>21</v>
      </c>
      <c r="C762" s="40" t="s">
        <v>69</v>
      </c>
      <c r="D762" s="55" t="s">
        <v>27</v>
      </c>
      <c r="E762" s="24">
        <v>4.6500000000000004</v>
      </c>
      <c r="F762" s="47"/>
      <c r="G762" s="33"/>
      <c r="H762" s="35"/>
      <c r="I762" s="48">
        <f>(E762+F762+G762)*20/100</f>
        <v>0.93</v>
      </c>
      <c r="J762" s="49">
        <f>30/100*(E762+F762+G762)</f>
        <v>1.395</v>
      </c>
      <c r="K762" s="50">
        <f t="shared" si="357"/>
        <v>6.9749999999999996</v>
      </c>
      <c r="L762" s="51">
        <f t="shared" ref="L762:L776" si="358">K762*1490000</f>
        <v>10392750</v>
      </c>
      <c r="M762" s="58"/>
      <c r="N762" s="58"/>
      <c r="O762" s="51">
        <f t="shared" si="348"/>
        <v>10392750</v>
      </c>
      <c r="P762" s="53">
        <f t="shared" ref="P762:P776" si="359">((E762+F762+G762+I762)*1490000-M762)*10.5%</f>
        <v>872991</v>
      </c>
      <c r="Q762" s="54"/>
      <c r="R762" s="53">
        <f t="shared" si="344"/>
        <v>872991</v>
      </c>
      <c r="S762" s="53">
        <f t="shared" ref="S762:S769" si="360">O762-R762</f>
        <v>9519759</v>
      </c>
      <c r="T762" s="150"/>
    </row>
    <row r="763" spans="1:20">
      <c r="A763" s="21">
        <v>14</v>
      </c>
      <c r="B763" s="39" t="s">
        <v>21</v>
      </c>
      <c r="C763" s="40" t="s">
        <v>37</v>
      </c>
      <c r="D763" s="55" t="s">
        <v>27</v>
      </c>
      <c r="E763" s="24">
        <v>4.32</v>
      </c>
      <c r="F763" s="24"/>
      <c r="G763" s="33"/>
      <c r="H763" s="35"/>
      <c r="I763" s="48">
        <f>(E763+F763+G763)*20/100</f>
        <v>0.8640000000000001</v>
      </c>
      <c r="J763" s="49">
        <f>30/100*(E763+F763+G763)</f>
        <v>1.296</v>
      </c>
      <c r="K763" s="50">
        <f t="shared" si="357"/>
        <v>6.48</v>
      </c>
      <c r="L763" s="51">
        <f t="shared" si="358"/>
        <v>9655200</v>
      </c>
      <c r="M763" s="58"/>
      <c r="N763" s="58"/>
      <c r="O763" s="51">
        <f t="shared" si="348"/>
        <v>9655200</v>
      </c>
      <c r="P763" s="53">
        <f t="shared" si="359"/>
        <v>811036.79999999993</v>
      </c>
      <c r="Q763" s="54"/>
      <c r="R763" s="53">
        <f t="shared" si="344"/>
        <v>811036.79999999993</v>
      </c>
      <c r="S763" s="53">
        <f t="shared" si="360"/>
        <v>8844163.1999999993</v>
      </c>
      <c r="T763" s="2"/>
    </row>
    <row r="764" spans="1:20">
      <c r="A764" s="21">
        <v>15</v>
      </c>
      <c r="B764" s="39" t="s">
        <v>21</v>
      </c>
      <c r="C764" s="40" t="s">
        <v>71</v>
      </c>
      <c r="D764" s="55" t="s">
        <v>27</v>
      </c>
      <c r="E764" s="24">
        <v>4.32</v>
      </c>
      <c r="F764" s="24"/>
      <c r="G764" s="33"/>
      <c r="H764" s="35"/>
      <c r="I764" s="48">
        <f>(E764+F764+G764)*20/100</f>
        <v>0.8640000000000001</v>
      </c>
      <c r="J764" s="49">
        <f t="shared" ref="J764:J766" si="361">30/100*(E764+F764+G764)</f>
        <v>1.296</v>
      </c>
      <c r="K764" s="50">
        <f t="shared" si="357"/>
        <v>6.48</v>
      </c>
      <c r="L764" s="51">
        <f t="shared" si="358"/>
        <v>9655200</v>
      </c>
      <c r="M764" s="58"/>
      <c r="N764" s="58"/>
      <c r="O764" s="51">
        <f t="shared" si="348"/>
        <v>9655200</v>
      </c>
      <c r="P764" s="53">
        <f t="shared" si="359"/>
        <v>811036.79999999993</v>
      </c>
      <c r="Q764" s="54"/>
      <c r="R764" s="53">
        <f t="shared" si="344"/>
        <v>811036.79999999993</v>
      </c>
      <c r="S764" s="53">
        <f t="shared" si="360"/>
        <v>8844163.1999999993</v>
      </c>
      <c r="T764" s="41"/>
    </row>
    <row r="765" spans="1:20">
      <c r="A765" s="21">
        <v>16</v>
      </c>
      <c r="B765" s="39" t="s">
        <v>21</v>
      </c>
      <c r="C765" s="40" t="s">
        <v>38</v>
      </c>
      <c r="D765" s="55" t="s">
        <v>27</v>
      </c>
      <c r="E765" s="24">
        <v>4.32</v>
      </c>
      <c r="F765" s="24"/>
      <c r="G765" s="33"/>
      <c r="H765" s="35"/>
      <c r="I765" s="48">
        <f>(E765+F765+G765)*18%</f>
        <v>0.77760000000000007</v>
      </c>
      <c r="J765" s="49">
        <f t="shared" si="361"/>
        <v>1.296</v>
      </c>
      <c r="K765" s="50">
        <f t="shared" si="357"/>
        <v>6.3936000000000002</v>
      </c>
      <c r="L765" s="51">
        <f t="shared" si="358"/>
        <v>9526464</v>
      </c>
      <c r="M765" s="58"/>
      <c r="N765" s="58"/>
      <c r="O765" s="51">
        <f t="shared" si="348"/>
        <v>9526464</v>
      </c>
      <c r="P765" s="53">
        <f t="shared" si="359"/>
        <v>797519.52</v>
      </c>
      <c r="Q765" s="54"/>
      <c r="R765" s="53">
        <f t="shared" si="344"/>
        <v>797519.52</v>
      </c>
      <c r="S765" s="53">
        <f t="shared" si="360"/>
        <v>8728944.4800000004</v>
      </c>
      <c r="T765" s="41"/>
    </row>
    <row r="766" spans="1:20">
      <c r="A766" s="21">
        <v>17</v>
      </c>
      <c r="B766" s="39" t="s">
        <v>21</v>
      </c>
      <c r="C766" s="40" t="s">
        <v>72</v>
      </c>
      <c r="D766" s="55" t="s">
        <v>27</v>
      </c>
      <c r="E766" s="24">
        <v>4.32</v>
      </c>
      <c r="F766" s="24"/>
      <c r="G766" s="33"/>
      <c r="H766" s="35"/>
      <c r="I766" s="48">
        <f>(E766+F766+G766)*18%</f>
        <v>0.77760000000000007</v>
      </c>
      <c r="J766" s="49">
        <f t="shared" si="361"/>
        <v>1.296</v>
      </c>
      <c r="K766" s="50">
        <f t="shared" si="357"/>
        <v>6.3936000000000002</v>
      </c>
      <c r="L766" s="51">
        <f t="shared" si="358"/>
        <v>9526464</v>
      </c>
      <c r="M766" s="58"/>
      <c r="N766" s="58"/>
      <c r="O766" s="51">
        <f t="shared" si="348"/>
        <v>9526464</v>
      </c>
      <c r="P766" s="53">
        <f t="shared" si="359"/>
        <v>797519.52</v>
      </c>
      <c r="Q766" s="54"/>
      <c r="R766" s="53">
        <f t="shared" si="344"/>
        <v>797519.52</v>
      </c>
      <c r="S766" s="53">
        <f t="shared" si="360"/>
        <v>8728944.4800000004</v>
      </c>
      <c r="T766" s="41"/>
    </row>
    <row r="767" spans="1:20">
      <c r="A767" s="21">
        <v>18</v>
      </c>
      <c r="B767" s="39" t="s">
        <v>21</v>
      </c>
      <c r="C767" s="40" t="s">
        <v>91</v>
      </c>
      <c r="D767" s="55" t="s">
        <v>27</v>
      </c>
      <c r="E767" s="24">
        <v>4.6500000000000004</v>
      </c>
      <c r="F767" s="24">
        <v>0.15</v>
      </c>
      <c r="G767" s="60"/>
      <c r="H767" s="35"/>
      <c r="I767" s="48">
        <f>(E767+F767+G767)*20%</f>
        <v>0.96000000000000019</v>
      </c>
      <c r="J767" s="49">
        <f>30/100*(E767+F767+G767)</f>
        <v>1.4400000000000002</v>
      </c>
      <c r="K767" s="61">
        <f t="shared" si="357"/>
        <v>7.2000000000000011</v>
      </c>
      <c r="L767" s="62">
        <f t="shared" si="358"/>
        <v>10728000.000000002</v>
      </c>
      <c r="M767" s="63"/>
      <c r="N767" s="63"/>
      <c r="O767" s="62">
        <f t="shared" si="348"/>
        <v>10728000.000000002</v>
      </c>
      <c r="P767" s="64">
        <f t="shared" si="359"/>
        <v>901152.00000000012</v>
      </c>
      <c r="Q767" s="54"/>
      <c r="R767" s="64">
        <f t="shared" si="344"/>
        <v>901152.00000000012</v>
      </c>
      <c r="S767" s="64">
        <f t="shared" si="360"/>
        <v>9826848.0000000019</v>
      </c>
      <c r="T767" s="41"/>
    </row>
    <row r="768" spans="1:20">
      <c r="A768" s="21">
        <v>19</v>
      </c>
      <c r="B768" s="39" t="s">
        <v>21</v>
      </c>
      <c r="C768" s="40" t="s">
        <v>39</v>
      </c>
      <c r="D768" s="55" t="s">
        <v>27</v>
      </c>
      <c r="E768" s="24">
        <v>4.32</v>
      </c>
      <c r="F768" s="24"/>
      <c r="G768" s="33"/>
      <c r="H768" s="36"/>
      <c r="I768" s="48">
        <f>(E768+F768+G768)*22%</f>
        <v>0.95040000000000002</v>
      </c>
      <c r="J768" s="49">
        <f>30/100*(E768+F768+G768)</f>
        <v>1.296</v>
      </c>
      <c r="K768" s="50">
        <f t="shared" si="357"/>
        <v>6.5664000000000007</v>
      </c>
      <c r="L768" s="51">
        <f t="shared" si="358"/>
        <v>9783936.0000000019</v>
      </c>
      <c r="M768" s="58"/>
      <c r="N768" s="58"/>
      <c r="O768" s="51">
        <f t="shared" si="348"/>
        <v>9783936.0000000019</v>
      </c>
      <c r="P768" s="53">
        <f t="shared" si="359"/>
        <v>824554.08000000007</v>
      </c>
      <c r="Q768" s="54"/>
      <c r="R768" s="53">
        <f t="shared" si="344"/>
        <v>824554.08000000007</v>
      </c>
      <c r="S768" s="53">
        <f t="shared" si="360"/>
        <v>8959381.9200000018</v>
      </c>
      <c r="T768" s="41"/>
    </row>
    <row r="769" spans="1:20" ht="16.5">
      <c r="A769" s="21">
        <v>20</v>
      </c>
      <c r="B769" s="39" t="s">
        <v>22</v>
      </c>
      <c r="C769" s="40" t="s">
        <v>40</v>
      </c>
      <c r="D769" s="55" t="s">
        <v>90</v>
      </c>
      <c r="E769" s="24">
        <v>3.96</v>
      </c>
      <c r="F769" s="24">
        <v>0.15</v>
      </c>
      <c r="G769" s="33"/>
      <c r="H769" s="36"/>
      <c r="I769" s="48">
        <f>(E769+F769+G769)*18/100</f>
        <v>0.73980000000000001</v>
      </c>
      <c r="J769" s="49">
        <f t="shared" ref="J769" si="362">30/100*(E769+F769+G769)</f>
        <v>1.2330000000000001</v>
      </c>
      <c r="K769" s="50">
        <f t="shared" si="357"/>
        <v>6.0828000000000007</v>
      </c>
      <c r="L769" s="51">
        <f t="shared" si="358"/>
        <v>9063372.0000000019</v>
      </c>
      <c r="M769" s="58"/>
      <c r="N769" s="58"/>
      <c r="O769" s="51">
        <f t="shared" si="348"/>
        <v>9063372.0000000019</v>
      </c>
      <c r="P769" s="53">
        <f t="shared" si="359"/>
        <v>758751.21</v>
      </c>
      <c r="Q769" s="54"/>
      <c r="R769" s="53">
        <f t="shared" si="344"/>
        <v>758751.21</v>
      </c>
      <c r="S769" s="53">
        <f t="shared" si="360"/>
        <v>8304620.7900000019</v>
      </c>
      <c r="T769" s="41"/>
    </row>
    <row r="770" spans="1:20" ht="15.75">
      <c r="A770" s="21">
        <v>21</v>
      </c>
      <c r="B770" s="39" t="s">
        <v>21</v>
      </c>
      <c r="C770" s="40" t="s">
        <v>73</v>
      </c>
      <c r="D770" s="55" t="s">
        <v>27</v>
      </c>
      <c r="E770" s="24">
        <v>3.99</v>
      </c>
      <c r="F770" s="24"/>
      <c r="G770" s="14"/>
      <c r="H770" s="10"/>
      <c r="I770" s="48">
        <f>(E770+F770+G770)*17%</f>
        <v>0.67830000000000013</v>
      </c>
      <c r="J770" s="49">
        <f>30/100*(E770+F770+G770)</f>
        <v>1.1970000000000001</v>
      </c>
      <c r="K770" s="50">
        <f t="shared" si="357"/>
        <v>5.8653000000000004</v>
      </c>
      <c r="L770" s="51">
        <f t="shared" si="358"/>
        <v>8739297</v>
      </c>
      <c r="M770" s="65"/>
      <c r="N770" s="65"/>
      <c r="O770" s="51">
        <f>L770-M770+N770</f>
        <v>8739297</v>
      </c>
      <c r="P770" s="53">
        <f t="shared" si="359"/>
        <v>730355.53500000003</v>
      </c>
      <c r="Q770" s="54"/>
      <c r="R770" s="53">
        <f t="shared" si="344"/>
        <v>730355.53500000003</v>
      </c>
      <c r="S770" s="53">
        <f>O770-R770-N770</f>
        <v>8008941.4649999999</v>
      </c>
      <c r="T770" s="41"/>
    </row>
    <row r="771" spans="1:20" ht="15.75">
      <c r="A771" s="21">
        <v>22</v>
      </c>
      <c r="B771" s="39" t="s">
        <v>21</v>
      </c>
      <c r="C771" s="40" t="s">
        <v>41</v>
      </c>
      <c r="D771" s="55" t="s">
        <v>27</v>
      </c>
      <c r="E771" s="24">
        <v>3.99</v>
      </c>
      <c r="F771" s="56"/>
      <c r="G771" s="14"/>
      <c r="H771" s="10"/>
      <c r="I771" s="48">
        <f>(E771+F771+G771)*17/100</f>
        <v>0.67830000000000001</v>
      </c>
      <c r="J771" s="49">
        <f t="shared" ref="J771:J775" si="363">30/100*(E771+F771+G771)</f>
        <v>1.1970000000000001</v>
      </c>
      <c r="K771" s="50">
        <f t="shared" si="357"/>
        <v>5.8653000000000004</v>
      </c>
      <c r="L771" s="51">
        <f t="shared" si="358"/>
        <v>8739297</v>
      </c>
      <c r="M771" s="58"/>
      <c r="N771" s="58"/>
      <c r="O771" s="51">
        <f t="shared" ref="O771:O776" si="364">L771-M771+N771</f>
        <v>8739297</v>
      </c>
      <c r="P771" s="53">
        <f t="shared" si="359"/>
        <v>730355.53500000003</v>
      </c>
      <c r="Q771" s="54"/>
      <c r="R771" s="53">
        <f t="shared" si="344"/>
        <v>730355.53500000003</v>
      </c>
      <c r="S771" s="53">
        <f t="shared" ref="S771:S772" si="365">O771-R771</f>
        <v>8008941.4649999999</v>
      </c>
      <c r="T771" s="41"/>
    </row>
    <row r="772" spans="1:20">
      <c r="A772" s="21">
        <v>23</v>
      </c>
      <c r="B772" s="39" t="s">
        <v>21</v>
      </c>
      <c r="C772" s="40" t="s">
        <v>42</v>
      </c>
      <c r="D772" s="55" t="s">
        <v>27</v>
      </c>
      <c r="E772" s="24">
        <v>4.32</v>
      </c>
      <c r="F772" s="56"/>
      <c r="G772" s="14"/>
      <c r="H772" s="34">
        <v>0.1</v>
      </c>
      <c r="I772" s="48">
        <f>(E772+F772+G772)*17/100</f>
        <v>0.73439999999999994</v>
      </c>
      <c r="J772" s="49">
        <f t="shared" si="363"/>
        <v>1.296</v>
      </c>
      <c r="K772" s="50">
        <f t="shared" si="357"/>
        <v>6.4504000000000001</v>
      </c>
      <c r="L772" s="51">
        <f t="shared" si="358"/>
        <v>9611096</v>
      </c>
      <c r="M772" s="58"/>
      <c r="N772" s="58"/>
      <c r="O772" s="51">
        <f t="shared" si="364"/>
        <v>9611096</v>
      </c>
      <c r="P772" s="53">
        <f t="shared" si="359"/>
        <v>790760.88</v>
      </c>
      <c r="Q772" s="54"/>
      <c r="R772" s="53">
        <f t="shared" si="344"/>
        <v>790760.88</v>
      </c>
      <c r="S772" s="53">
        <f t="shared" si="365"/>
        <v>8820335.1199999992</v>
      </c>
      <c r="T772" s="41"/>
    </row>
    <row r="773" spans="1:20" ht="15.75">
      <c r="A773" s="21">
        <v>24</v>
      </c>
      <c r="B773" s="39" t="s">
        <v>21</v>
      </c>
      <c r="C773" s="26" t="s">
        <v>74</v>
      </c>
      <c r="D773" s="55" t="s">
        <v>27</v>
      </c>
      <c r="E773" s="24">
        <v>3.99</v>
      </c>
      <c r="F773" s="56"/>
      <c r="G773" s="14"/>
      <c r="H773" s="10"/>
      <c r="I773" s="66">
        <f>(E773+F773+G773)*16/100</f>
        <v>0.63840000000000008</v>
      </c>
      <c r="J773" s="67">
        <f t="shared" si="363"/>
        <v>1.1970000000000001</v>
      </c>
      <c r="K773" s="68">
        <f t="shared" si="357"/>
        <v>5.8254000000000001</v>
      </c>
      <c r="L773" s="69">
        <f t="shared" si="358"/>
        <v>8679846</v>
      </c>
      <c r="M773" s="70"/>
      <c r="N773" s="70"/>
      <c r="O773" s="69">
        <f t="shared" si="364"/>
        <v>8679846</v>
      </c>
      <c r="P773" s="71">
        <f t="shared" si="359"/>
        <v>724113.17999999993</v>
      </c>
      <c r="Q773" s="54"/>
      <c r="R773" s="71">
        <f t="shared" si="344"/>
        <v>724113.17999999993</v>
      </c>
      <c r="S773" s="71">
        <f>O773-R773</f>
        <v>7955732.8200000003</v>
      </c>
      <c r="T773" s="41"/>
    </row>
    <row r="774" spans="1:20" ht="15.75">
      <c r="A774" s="21">
        <v>25</v>
      </c>
      <c r="B774" s="72" t="s">
        <v>21</v>
      </c>
      <c r="C774" s="26" t="s">
        <v>43</v>
      </c>
      <c r="D774" s="55" t="s">
        <v>27</v>
      </c>
      <c r="E774" s="24">
        <v>3.99</v>
      </c>
      <c r="F774" s="56"/>
      <c r="G774" s="14"/>
      <c r="H774" s="10"/>
      <c r="I774" s="66">
        <f>(E774+F774+G774)*16/100</f>
        <v>0.63840000000000008</v>
      </c>
      <c r="J774" s="67">
        <f t="shared" si="363"/>
        <v>1.1970000000000001</v>
      </c>
      <c r="K774" s="68">
        <f t="shared" si="357"/>
        <v>5.8254000000000001</v>
      </c>
      <c r="L774" s="69">
        <f t="shared" si="358"/>
        <v>8679846</v>
      </c>
      <c r="M774" s="70"/>
      <c r="N774" s="70"/>
      <c r="O774" s="69">
        <f t="shared" si="364"/>
        <v>8679846</v>
      </c>
      <c r="P774" s="71">
        <f t="shared" si="359"/>
        <v>724113.17999999993</v>
      </c>
      <c r="Q774" s="54"/>
      <c r="R774" s="71">
        <f t="shared" si="344"/>
        <v>724113.17999999993</v>
      </c>
      <c r="S774" s="71">
        <f t="shared" ref="S774" si="366">O774-R774</f>
        <v>7955732.8200000003</v>
      </c>
      <c r="T774" s="41"/>
    </row>
    <row r="775" spans="1:20" ht="15.75">
      <c r="A775" s="21">
        <v>26</v>
      </c>
      <c r="B775" s="39" t="s">
        <v>21</v>
      </c>
      <c r="C775" s="26" t="s">
        <v>58</v>
      </c>
      <c r="D775" s="55" t="s">
        <v>27</v>
      </c>
      <c r="E775" s="24">
        <v>3.66</v>
      </c>
      <c r="F775" s="56"/>
      <c r="G775" s="14"/>
      <c r="H775" s="10"/>
      <c r="I775" s="48">
        <f>(E775+F775+G775)*12%</f>
        <v>0.43919999999999998</v>
      </c>
      <c r="J775" s="49">
        <f t="shared" si="363"/>
        <v>1.0980000000000001</v>
      </c>
      <c r="K775" s="50">
        <f t="shared" si="357"/>
        <v>5.1971999999999996</v>
      </c>
      <c r="L775" s="51">
        <f t="shared" si="358"/>
        <v>7743827.9999999991</v>
      </c>
      <c r="M775" s="58"/>
      <c r="N775" s="58"/>
      <c r="O775" s="51">
        <f t="shared" si="364"/>
        <v>7743827.9999999991</v>
      </c>
      <c r="P775" s="53">
        <f t="shared" si="359"/>
        <v>641319.84</v>
      </c>
      <c r="Q775" s="54"/>
      <c r="R775" s="53">
        <f t="shared" si="344"/>
        <v>641319.84</v>
      </c>
      <c r="S775" s="53">
        <f>O775-R775</f>
        <v>7102508.1599999992</v>
      </c>
      <c r="T775" s="41"/>
    </row>
    <row r="776" spans="1:20" ht="15.75">
      <c r="A776" s="21">
        <v>27</v>
      </c>
      <c r="B776" s="39" t="s">
        <v>21</v>
      </c>
      <c r="C776" s="40" t="s">
        <v>44</v>
      </c>
      <c r="D776" s="55" t="s">
        <v>27</v>
      </c>
      <c r="E776" s="24">
        <v>3.99</v>
      </c>
      <c r="F776" s="56"/>
      <c r="G776" s="14"/>
      <c r="H776" s="10"/>
      <c r="I776" s="48">
        <f>(E776+F776+G776)*15/100</f>
        <v>0.59850000000000003</v>
      </c>
      <c r="J776" s="49">
        <f>30/100*(E776+F776+G776)</f>
        <v>1.1970000000000001</v>
      </c>
      <c r="K776" s="50">
        <f t="shared" si="357"/>
        <v>5.7854999999999999</v>
      </c>
      <c r="L776" s="51">
        <f t="shared" si="358"/>
        <v>8620395</v>
      </c>
      <c r="M776" s="58"/>
      <c r="N776" s="58"/>
      <c r="O776" s="51">
        <f t="shared" si="364"/>
        <v>8620395</v>
      </c>
      <c r="P776" s="53">
        <f t="shared" si="359"/>
        <v>717870.82499999995</v>
      </c>
      <c r="Q776" s="54"/>
      <c r="R776" s="53">
        <f t="shared" si="344"/>
        <v>717870.82499999995</v>
      </c>
      <c r="S776" s="53">
        <f t="shared" ref="S776" si="367">O776-R776</f>
        <v>7902524.1749999998</v>
      </c>
      <c r="T776" s="41"/>
    </row>
    <row r="777" spans="1:20" ht="15.75">
      <c r="A777" s="21">
        <v>28</v>
      </c>
      <c r="B777" s="39" t="s">
        <v>53</v>
      </c>
      <c r="C777" s="73" t="s">
        <v>75</v>
      </c>
      <c r="D777" s="55" t="s">
        <v>83</v>
      </c>
      <c r="E777" s="74">
        <v>3.46</v>
      </c>
      <c r="F777" s="56"/>
      <c r="G777" s="14"/>
      <c r="H777" s="10"/>
      <c r="I777" s="48"/>
      <c r="J777" s="49"/>
      <c r="K777" s="50">
        <f>E777+F777+G777+H777+I777+J777</f>
        <v>3.46</v>
      </c>
      <c r="L777" s="51">
        <f>K777*1490000</f>
        <v>5155400</v>
      </c>
      <c r="M777" s="65"/>
      <c r="N777" s="75"/>
      <c r="O777" s="51">
        <f>L777-M777+N777</f>
        <v>5155400</v>
      </c>
      <c r="P777" s="53">
        <f>((E777+F777+G777+I777)*1490000)*10.5%</f>
        <v>541317</v>
      </c>
      <c r="Q777" s="54"/>
      <c r="R777" s="53">
        <f t="shared" si="344"/>
        <v>541317</v>
      </c>
      <c r="S777" s="53">
        <f>O777-R777</f>
        <v>4614083</v>
      </c>
      <c r="T777" s="41"/>
    </row>
    <row r="778" spans="1:20" ht="16.5">
      <c r="A778" s="21">
        <v>29</v>
      </c>
      <c r="B778" s="39" t="s">
        <v>89</v>
      </c>
      <c r="C778" s="42" t="s">
        <v>46</v>
      </c>
      <c r="D778" s="55" t="s">
        <v>27</v>
      </c>
      <c r="E778" s="24">
        <v>4</v>
      </c>
      <c r="F778" s="24"/>
      <c r="G778" s="14"/>
      <c r="H778" s="10"/>
      <c r="I778" s="48">
        <f>(E778+F778+G778)*14%</f>
        <v>0.56000000000000005</v>
      </c>
      <c r="J778" s="49">
        <f>30/100*(E778+F778+G778)</f>
        <v>1.2</v>
      </c>
      <c r="K778" s="50">
        <f t="shared" ref="K778:K780" si="368">E778+F778+G778+H778+I778+J778</f>
        <v>5.7600000000000007</v>
      </c>
      <c r="L778" s="51">
        <f>K778*1490000</f>
        <v>8582400.0000000019</v>
      </c>
      <c r="M778" s="58"/>
      <c r="N778" s="58"/>
      <c r="O778" s="51">
        <f t="shared" ref="O778:O786" si="369">L778-M778+N778</f>
        <v>8582400.0000000019</v>
      </c>
      <c r="P778" s="53">
        <f>((E778+F778+G778+I778)*1490000-M778)*10.5%</f>
        <v>713412.00000000012</v>
      </c>
      <c r="Q778" s="54"/>
      <c r="R778" s="53">
        <f t="shared" si="344"/>
        <v>713412.00000000012</v>
      </c>
      <c r="S778" s="76">
        <f t="shared" ref="S778:S779" si="370">O778-R778</f>
        <v>7868988.0000000019</v>
      </c>
      <c r="T778" s="41"/>
    </row>
    <row r="779" spans="1:20" ht="15.75">
      <c r="A779" s="21">
        <v>30</v>
      </c>
      <c r="B779" s="39" t="s">
        <v>21</v>
      </c>
      <c r="C779" s="40" t="s">
        <v>47</v>
      </c>
      <c r="D779" s="55" t="s">
        <v>27</v>
      </c>
      <c r="E779" s="24">
        <v>3.99</v>
      </c>
      <c r="F779" s="24"/>
      <c r="G779" s="14"/>
      <c r="H779" s="10"/>
      <c r="I779" s="48">
        <f>(E779+F779+G779)*16%</f>
        <v>0.63840000000000008</v>
      </c>
      <c r="J779" s="49">
        <f t="shared" ref="J779" si="371">30/100*(E779+F779+G779)</f>
        <v>1.1970000000000001</v>
      </c>
      <c r="K779" s="50">
        <f t="shared" si="368"/>
        <v>5.8254000000000001</v>
      </c>
      <c r="L779" s="51">
        <f t="shared" ref="L779:L782" si="372">K779*1490000</f>
        <v>8679846</v>
      </c>
      <c r="M779" s="53"/>
      <c r="N779" s="58"/>
      <c r="O779" s="51">
        <f t="shared" si="369"/>
        <v>8679846</v>
      </c>
      <c r="P779" s="53">
        <f t="shared" ref="P779:P780" si="373">((E779+F779+G779+I779)*1490000-M779)*10.5%</f>
        <v>724113.17999999993</v>
      </c>
      <c r="Q779" s="54"/>
      <c r="R779" s="53">
        <f t="shared" si="344"/>
        <v>724113.17999999993</v>
      </c>
      <c r="S779" s="76">
        <f t="shared" si="370"/>
        <v>7955732.8200000003</v>
      </c>
      <c r="T779" s="41"/>
    </row>
    <row r="780" spans="1:20" ht="15.75">
      <c r="A780" s="21">
        <v>31</v>
      </c>
      <c r="B780" s="39" t="s">
        <v>21</v>
      </c>
      <c r="C780" s="40" t="s">
        <v>48</v>
      </c>
      <c r="D780" s="55" t="s">
        <v>27</v>
      </c>
      <c r="E780" s="24">
        <v>3.99</v>
      </c>
      <c r="F780" s="24"/>
      <c r="G780" s="14"/>
      <c r="H780" s="10"/>
      <c r="I780" s="48">
        <f>(E780+F780+G780)*14%</f>
        <v>0.5586000000000001</v>
      </c>
      <c r="J780" s="49">
        <f>30/100*(E780+F780+G780)</f>
        <v>1.1970000000000001</v>
      </c>
      <c r="K780" s="50">
        <f t="shared" si="368"/>
        <v>5.7456000000000005</v>
      </c>
      <c r="L780" s="51">
        <f t="shared" si="372"/>
        <v>8560944</v>
      </c>
      <c r="M780" s="53"/>
      <c r="N780" s="58"/>
      <c r="O780" s="51">
        <f t="shared" si="369"/>
        <v>8560944</v>
      </c>
      <c r="P780" s="53">
        <f t="shared" si="373"/>
        <v>711628.47000000009</v>
      </c>
      <c r="Q780" s="54"/>
      <c r="R780" s="53">
        <f t="shared" si="344"/>
        <v>711628.47000000009</v>
      </c>
      <c r="S780" s="76">
        <f>O780-R780</f>
        <v>7849315.5300000003</v>
      </c>
      <c r="T780" s="41"/>
    </row>
    <row r="781" spans="1:20" ht="15.75">
      <c r="A781" s="21">
        <v>32</v>
      </c>
      <c r="B781" s="39" t="s">
        <v>21</v>
      </c>
      <c r="C781" s="40" t="s">
        <v>92</v>
      </c>
      <c r="D781" s="55" t="s">
        <v>27</v>
      </c>
      <c r="E781" s="24">
        <v>3.33</v>
      </c>
      <c r="F781" s="24"/>
      <c r="G781" s="14"/>
      <c r="H781" s="10"/>
      <c r="I781" s="48">
        <f>(E781+F781+G781)*10%</f>
        <v>0.33300000000000002</v>
      </c>
      <c r="J781" s="49">
        <f>30/100*(E781+F781+G781)</f>
        <v>0.999</v>
      </c>
      <c r="K781" s="50">
        <f>E781+F781+G781+H781+I781+J781</f>
        <v>4.6619999999999999</v>
      </c>
      <c r="L781" s="51">
        <f t="shared" si="372"/>
        <v>6946380</v>
      </c>
      <c r="M781" s="53"/>
      <c r="N781" s="53"/>
      <c r="O781" s="51">
        <f t="shared" si="369"/>
        <v>6946380</v>
      </c>
      <c r="P781" s="53">
        <f>((E781+F781+G781+I781)*1490000)*10.5%</f>
        <v>573076.35</v>
      </c>
      <c r="Q781" s="54"/>
      <c r="R781" s="53">
        <f t="shared" si="344"/>
        <v>573076.35</v>
      </c>
      <c r="S781" s="76">
        <f t="shared" ref="S781:S782" si="374">O781-R781</f>
        <v>6373303.6500000004</v>
      </c>
      <c r="T781" s="41"/>
    </row>
    <row r="782" spans="1:20" ht="15.75">
      <c r="A782" s="21">
        <v>33</v>
      </c>
      <c r="B782" s="39" t="s">
        <v>21</v>
      </c>
      <c r="C782" s="40" t="s">
        <v>93</v>
      </c>
      <c r="D782" s="55" t="s">
        <v>27</v>
      </c>
      <c r="E782" s="24">
        <v>3.66</v>
      </c>
      <c r="F782" s="24"/>
      <c r="G782" s="14"/>
      <c r="H782" s="10"/>
      <c r="I782" s="48">
        <f>(E782+F782+G782)*12%</f>
        <v>0.43919999999999998</v>
      </c>
      <c r="J782" s="49">
        <f>30/100*(E782+F782+G782)</f>
        <v>1.0980000000000001</v>
      </c>
      <c r="K782" s="50">
        <f>E782+F782+G782+H782+I782+J782</f>
        <v>5.1971999999999996</v>
      </c>
      <c r="L782" s="51">
        <f t="shared" si="372"/>
        <v>7743827.9999999991</v>
      </c>
      <c r="M782" s="53"/>
      <c r="N782" s="53"/>
      <c r="O782" s="51">
        <f t="shared" si="369"/>
        <v>7743827.9999999991</v>
      </c>
      <c r="P782" s="53">
        <f>((E782+F782+G782+I782)*1490000)*10.5%</f>
        <v>641319.84</v>
      </c>
      <c r="Q782" s="54"/>
      <c r="R782" s="53">
        <f t="shared" si="344"/>
        <v>641319.84</v>
      </c>
      <c r="S782" s="76">
        <f t="shared" si="374"/>
        <v>7102508.1599999992</v>
      </c>
      <c r="T782" s="41"/>
    </row>
    <row r="783" spans="1:20" ht="16.5">
      <c r="A783" s="21">
        <v>34</v>
      </c>
      <c r="B783" s="39" t="s">
        <v>94</v>
      </c>
      <c r="C783" s="42" t="s">
        <v>95</v>
      </c>
      <c r="D783" s="77" t="s">
        <v>27</v>
      </c>
      <c r="E783" s="24">
        <v>3</v>
      </c>
      <c r="F783" s="24"/>
      <c r="G783" s="14"/>
      <c r="H783" s="11"/>
      <c r="I783" s="48"/>
      <c r="J783" s="49">
        <f>30/100*(E783+F783+G783)</f>
        <v>0.89999999999999991</v>
      </c>
      <c r="K783" s="50">
        <f>E783+F783+G783+H783+I783+J783</f>
        <v>3.9</v>
      </c>
      <c r="L783" s="51">
        <f>K783*1490000</f>
        <v>5811000</v>
      </c>
      <c r="M783" s="65"/>
      <c r="N783" s="65"/>
      <c r="O783" s="51">
        <f t="shared" si="369"/>
        <v>5811000</v>
      </c>
      <c r="P783" s="53">
        <f t="shared" ref="P783:P784" si="375">((E783+F783+G783+I783)*1490000-M783)*10.5%</f>
        <v>469350</v>
      </c>
      <c r="Q783" s="54"/>
      <c r="R783" s="53">
        <f t="shared" si="344"/>
        <v>469350</v>
      </c>
      <c r="S783" s="76">
        <f>O783-R783-N783</f>
        <v>5341650</v>
      </c>
      <c r="T783" s="41"/>
    </row>
    <row r="784" spans="1:20">
      <c r="A784" s="21">
        <v>35</v>
      </c>
      <c r="B784" s="39" t="s">
        <v>23</v>
      </c>
      <c r="C784" s="40" t="s">
        <v>49</v>
      </c>
      <c r="D784" s="55" t="s">
        <v>45</v>
      </c>
      <c r="E784" s="24">
        <v>3.34</v>
      </c>
      <c r="F784" s="24"/>
      <c r="G784" s="14"/>
      <c r="H784" s="24">
        <v>0.2</v>
      </c>
      <c r="I784" s="48"/>
      <c r="J784" s="49"/>
      <c r="K784" s="50">
        <f t="shared" ref="K784" si="376">E784+F784+G784+H784+I784+J784</f>
        <v>3.54</v>
      </c>
      <c r="L784" s="51">
        <f t="shared" ref="L784" si="377">K784*1490000</f>
        <v>5274600</v>
      </c>
      <c r="M784" s="53"/>
      <c r="N784" s="58"/>
      <c r="O784" s="51">
        <f t="shared" si="369"/>
        <v>5274600</v>
      </c>
      <c r="P784" s="53">
        <f t="shared" si="375"/>
        <v>522543</v>
      </c>
      <c r="Q784" s="54"/>
      <c r="R784" s="53">
        <f t="shared" si="344"/>
        <v>522543</v>
      </c>
      <c r="S784" s="76">
        <f>O784-R784</f>
        <v>4752057</v>
      </c>
      <c r="T784" s="41"/>
    </row>
    <row r="785" spans="1:20">
      <c r="A785" s="21">
        <v>36</v>
      </c>
      <c r="B785" s="39" t="s">
        <v>52</v>
      </c>
      <c r="C785" s="40" t="s">
        <v>50</v>
      </c>
      <c r="D785" s="77" t="s">
        <v>45</v>
      </c>
      <c r="E785" s="24">
        <v>2.86</v>
      </c>
      <c r="F785" s="24"/>
      <c r="G785" s="14"/>
      <c r="H785" s="24">
        <v>0.2</v>
      </c>
      <c r="I785" s="48"/>
      <c r="J785" s="49"/>
      <c r="K785" s="50">
        <f>E785+F785+G785+H785+I785+J785</f>
        <v>3.06</v>
      </c>
      <c r="L785" s="51">
        <f>K785*1490000</f>
        <v>4559400</v>
      </c>
      <c r="M785" s="53"/>
      <c r="N785" s="51"/>
      <c r="O785" s="51">
        <f t="shared" si="369"/>
        <v>4559400</v>
      </c>
      <c r="P785" s="53">
        <f>((E785+F785+G785+I785)*1490000)*10.5%</f>
        <v>447447</v>
      </c>
      <c r="Q785" s="54"/>
      <c r="R785" s="53">
        <f t="shared" si="344"/>
        <v>447447</v>
      </c>
      <c r="S785" s="76">
        <f>O785-R785</f>
        <v>4111953</v>
      </c>
      <c r="T785" s="41"/>
    </row>
    <row r="786" spans="1:20" ht="15.75">
      <c r="A786" s="21">
        <v>37</v>
      </c>
      <c r="B786" s="39" t="s">
        <v>54</v>
      </c>
      <c r="C786" s="40" t="s">
        <v>51</v>
      </c>
      <c r="D786" s="77" t="s">
        <v>96</v>
      </c>
      <c r="E786" s="24"/>
      <c r="F786" s="24"/>
      <c r="G786" s="14"/>
      <c r="H786" s="11"/>
      <c r="I786" s="48"/>
      <c r="J786" s="49"/>
      <c r="K786" s="50"/>
      <c r="L786" s="51">
        <v>4160000</v>
      </c>
      <c r="M786" s="53"/>
      <c r="N786" s="58"/>
      <c r="O786" s="51">
        <f t="shared" si="369"/>
        <v>4160000</v>
      </c>
      <c r="P786" s="53">
        <f>O786*10.5%</f>
        <v>436800</v>
      </c>
      <c r="Q786" s="54"/>
      <c r="R786" s="53">
        <f t="shared" si="344"/>
        <v>436800</v>
      </c>
      <c r="S786" s="76">
        <f>O786-R786</f>
        <v>3723200</v>
      </c>
      <c r="T786" s="2"/>
    </row>
    <row r="787" spans="1:20" ht="15.75">
      <c r="A787" s="2"/>
      <c r="B787" s="2"/>
      <c r="C787" s="3" t="s">
        <v>14</v>
      </c>
      <c r="D787" s="5"/>
      <c r="E787" s="27">
        <f t="shared" ref="E787" si="378">SUM(E750:E786)</f>
        <v>151.68</v>
      </c>
      <c r="F787" s="78">
        <f>SUM(F750:F786)</f>
        <v>2.0499999999999998</v>
      </c>
      <c r="G787" s="27">
        <f>SUM(G750:G786)</f>
        <v>1.1907000000000001</v>
      </c>
      <c r="H787" s="78">
        <f>SUM(H750:H786)</f>
        <v>0.60000000000000009</v>
      </c>
      <c r="I787" s="27">
        <f>SUM(I750:I786)</f>
        <v>27.260023</v>
      </c>
      <c r="J787" s="27">
        <f t="shared" ref="J787" si="379">SUM(J750:J786)</f>
        <v>42.237210000000012</v>
      </c>
      <c r="K787" s="27">
        <f>SUM(K750:K786)</f>
        <v>225.01793300000003</v>
      </c>
      <c r="L787" s="28">
        <f t="shared" ref="L787:O787" si="380">SUM(L750:L786)</f>
        <v>339436720.17000002</v>
      </c>
      <c r="M787" s="75">
        <f t="shared" si="380"/>
        <v>0</v>
      </c>
      <c r="N787" s="75">
        <f t="shared" si="380"/>
        <v>0</v>
      </c>
      <c r="O787" s="28">
        <f t="shared" si="380"/>
        <v>339436720.17000002</v>
      </c>
      <c r="P787" s="28">
        <f>SUM(P750:P786)</f>
        <v>28839757.993349999</v>
      </c>
      <c r="Q787" s="28">
        <f>SUM(Q750:Q786)</f>
        <v>0</v>
      </c>
      <c r="R787" s="28">
        <f t="shared" ref="R787" si="381">SUM(R750:R786)</f>
        <v>28839757.993349999</v>
      </c>
      <c r="S787" s="32">
        <f>SUM(S750:S786)</f>
        <v>310596962.17664993</v>
      </c>
      <c r="T787" s="2"/>
    </row>
    <row r="788" spans="1:20">
      <c r="E788" s="9"/>
      <c r="F788" s="9"/>
      <c r="G788" s="9"/>
      <c r="H788" s="9"/>
      <c r="I788" s="19"/>
      <c r="J788" s="17"/>
    </row>
    <row r="789" spans="1:20">
      <c r="A789" s="1" t="s">
        <v>100</v>
      </c>
      <c r="D789" s="210" t="s">
        <v>366</v>
      </c>
      <c r="E789" s="210"/>
      <c r="F789" s="210"/>
      <c r="G789" s="210"/>
      <c r="H789" s="210"/>
      <c r="I789" s="210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</row>
    <row r="790" spans="1:20" ht="15.75">
      <c r="A790" s="6"/>
      <c r="E790" s="9"/>
      <c r="F790" s="9"/>
      <c r="G790" s="9"/>
      <c r="H790" s="9"/>
      <c r="I790" s="19"/>
      <c r="J790" s="17"/>
      <c r="S790" s="15"/>
    </row>
    <row r="791" spans="1:20">
      <c r="A791" s="7"/>
      <c r="B791" s="7"/>
      <c r="C791" s="7"/>
      <c r="D791" s="211"/>
      <c r="E791" s="212"/>
      <c r="F791" s="212"/>
      <c r="G791" s="37"/>
      <c r="H791" s="37"/>
      <c r="I791" s="19"/>
      <c r="J791" s="17"/>
      <c r="N791" s="43"/>
      <c r="O791" s="43"/>
      <c r="P791" s="213" t="s">
        <v>358</v>
      </c>
      <c r="Q791" s="213"/>
      <c r="R791" s="213"/>
      <c r="S791" s="213"/>
    </row>
    <row r="792" spans="1:20">
      <c r="A792" s="214" t="s">
        <v>77</v>
      </c>
      <c r="B792" s="214"/>
      <c r="C792" s="214"/>
      <c r="D792" s="214"/>
      <c r="E792" s="214"/>
      <c r="F792" s="9"/>
      <c r="G792" s="44"/>
      <c r="H792" s="44"/>
      <c r="I792" s="19"/>
      <c r="J792" s="214" t="s">
        <v>79</v>
      </c>
      <c r="K792" s="214"/>
      <c r="L792" s="214"/>
      <c r="M792" s="214"/>
      <c r="P792" s="215" t="s">
        <v>65</v>
      </c>
      <c r="Q792" s="215"/>
      <c r="R792" s="215"/>
      <c r="S792" s="215"/>
    </row>
    <row r="793" spans="1:20">
      <c r="A793" s="216" t="s">
        <v>78</v>
      </c>
      <c r="B793" s="216"/>
      <c r="C793" s="216"/>
      <c r="D793" s="216"/>
      <c r="E793" s="9"/>
      <c r="F793" s="9"/>
      <c r="G793" s="9"/>
      <c r="H793" s="9"/>
      <c r="I793" s="19"/>
      <c r="J793" s="216" t="s">
        <v>80</v>
      </c>
      <c r="K793" s="216"/>
      <c r="L793" s="216"/>
      <c r="P793" s="217" t="s">
        <v>66</v>
      </c>
      <c r="Q793" s="217"/>
      <c r="R793" s="217"/>
      <c r="S793" s="217"/>
    </row>
    <row r="794" spans="1:20">
      <c r="E794" s="9"/>
      <c r="F794" s="9"/>
      <c r="G794" s="9"/>
      <c r="H794" s="9"/>
      <c r="I794" s="19"/>
      <c r="J794" s="17"/>
    </row>
    <row r="795" spans="1:20">
      <c r="B795" s="152"/>
      <c r="C795" s="79"/>
      <c r="D795" s="152"/>
      <c r="E795" s="9"/>
      <c r="F795" s="9"/>
      <c r="G795" s="9"/>
      <c r="H795" s="9"/>
      <c r="I795" s="19"/>
      <c r="J795" s="17"/>
    </row>
    <row r="796" spans="1:20" ht="15.75">
      <c r="B796" s="152"/>
      <c r="C796" s="153"/>
      <c r="D796" s="152"/>
      <c r="E796" s="9"/>
      <c r="F796" s="9"/>
      <c r="G796" s="9"/>
      <c r="H796" s="9"/>
      <c r="I796" s="19"/>
      <c r="J796" s="17"/>
      <c r="L796" s="12"/>
      <c r="P796" s="16"/>
    </row>
    <row r="797" spans="1:20" ht="15.75">
      <c r="B797" s="152"/>
      <c r="C797" s="153"/>
      <c r="D797" s="152"/>
      <c r="E797" s="9"/>
      <c r="F797" s="9"/>
      <c r="G797" s="9"/>
      <c r="H797" s="9"/>
      <c r="I797" s="19"/>
      <c r="J797" s="17"/>
    </row>
    <row r="798" spans="1:20" ht="15.75">
      <c r="B798" s="208" t="s">
        <v>267</v>
      </c>
      <c r="C798" s="208"/>
      <c r="D798" s="208"/>
      <c r="E798" s="9"/>
      <c r="F798" s="9"/>
      <c r="G798" s="9"/>
      <c r="H798" s="9"/>
      <c r="I798" s="19"/>
      <c r="J798" s="209" t="s">
        <v>59</v>
      </c>
      <c r="K798" s="209"/>
      <c r="L798" s="209"/>
      <c r="M798" s="209"/>
      <c r="P798" s="209" t="s">
        <v>81</v>
      </c>
      <c r="Q798" s="209"/>
      <c r="R798" s="209"/>
      <c r="S798" s="209"/>
    </row>
  </sheetData>
  <mergeCells count="459">
    <mergeCell ref="B798:D798"/>
    <mergeCell ref="J798:M798"/>
    <mergeCell ref="P798:S798"/>
    <mergeCell ref="D789:T789"/>
    <mergeCell ref="D791:F791"/>
    <mergeCell ref="P791:S791"/>
    <mergeCell ref="A792:E792"/>
    <mergeCell ref="J792:M792"/>
    <mergeCell ref="P792:S792"/>
    <mergeCell ref="A793:D793"/>
    <mergeCell ref="J793:L793"/>
    <mergeCell ref="P793:S793"/>
    <mergeCell ref="T746:T748"/>
    <mergeCell ref="E747:E748"/>
    <mergeCell ref="F747:F748"/>
    <mergeCell ref="G747:J747"/>
    <mergeCell ref="K747:K748"/>
    <mergeCell ref="L747:L748"/>
    <mergeCell ref="P747:P748"/>
    <mergeCell ref="Q747:Q748"/>
    <mergeCell ref="R747:R748"/>
    <mergeCell ref="A741:H741"/>
    <mergeCell ref="Q741:S741"/>
    <mergeCell ref="A742:G742"/>
    <mergeCell ref="R742:S742"/>
    <mergeCell ref="A743:G743"/>
    <mergeCell ref="A744:S744"/>
    <mergeCell ref="A745:S745"/>
    <mergeCell ref="A746:A748"/>
    <mergeCell ref="B746:B748"/>
    <mergeCell ref="C746:C748"/>
    <mergeCell ref="D746:D748"/>
    <mergeCell ref="E746:L746"/>
    <mergeCell ref="M746:M748"/>
    <mergeCell ref="N746:N748"/>
    <mergeCell ref="O746:O748"/>
    <mergeCell ref="P746:R746"/>
    <mergeCell ref="S746:S748"/>
    <mergeCell ref="B736:D736"/>
    <mergeCell ref="J736:M736"/>
    <mergeCell ref="P736:S736"/>
    <mergeCell ref="D727:T727"/>
    <mergeCell ref="D729:F729"/>
    <mergeCell ref="P729:S729"/>
    <mergeCell ref="A730:E730"/>
    <mergeCell ref="J730:M730"/>
    <mergeCell ref="P730:S730"/>
    <mergeCell ref="A731:D731"/>
    <mergeCell ref="J731:L731"/>
    <mergeCell ref="P731:S731"/>
    <mergeCell ref="T684:T686"/>
    <mergeCell ref="E685:E686"/>
    <mergeCell ref="F685:F686"/>
    <mergeCell ref="G685:J685"/>
    <mergeCell ref="K685:K686"/>
    <mergeCell ref="L685:L686"/>
    <mergeCell ref="P685:P686"/>
    <mergeCell ref="Q685:Q686"/>
    <mergeCell ref="R685:R686"/>
    <mergeCell ref="A679:H679"/>
    <mergeCell ref="Q679:S679"/>
    <mergeCell ref="A680:G680"/>
    <mergeCell ref="R680:S680"/>
    <mergeCell ref="A681:G681"/>
    <mergeCell ref="A682:S682"/>
    <mergeCell ref="A683:S683"/>
    <mergeCell ref="A684:A686"/>
    <mergeCell ref="B684:B686"/>
    <mergeCell ref="C684:C686"/>
    <mergeCell ref="D684:D686"/>
    <mergeCell ref="E684:L684"/>
    <mergeCell ref="M684:M686"/>
    <mergeCell ref="N684:N686"/>
    <mergeCell ref="O684:O686"/>
    <mergeCell ref="P684:R684"/>
    <mergeCell ref="S684:S686"/>
    <mergeCell ref="B669:D669"/>
    <mergeCell ref="J669:M669"/>
    <mergeCell ref="P669:S669"/>
    <mergeCell ref="D660:T660"/>
    <mergeCell ref="D662:F662"/>
    <mergeCell ref="P662:S662"/>
    <mergeCell ref="A663:E663"/>
    <mergeCell ref="J663:M663"/>
    <mergeCell ref="P663:S663"/>
    <mergeCell ref="A664:D664"/>
    <mergeCell ref="J664:L664"/>
    <mergeCell ref="P664:S664"/>
    <mergeCell ref="T617:T619"/>
    <mergeCell ref="E618:E619"/>
    <mergeCell ref="F618:F619"/>
    <mergeCell ref="G618:J618"/>
    <mergeCell ref="K618:K619"/>
    <mergeCell ref="L618:L619"/>
    <mergeCell ref="P618:P619"/>
    <mergeCell ref="Q618:Q619"/>
    <mergeCell ref="R618:R619"/>
    <mergeCell ref="A612:H612"/>
    <mergeCell ref="Q612:S612"/>
    <mergeCell ref="A613:G613"/>
    <mergeCell ref="R613:S613"/>
    <mergeCell ref="A614:G614"/>
    <mergeCell ref="A615:S615"/>
    <mergeCell ref="A616:S616"/>
    <mergeCell ref="A617:A619"/>
    <mergeCell ref="B617:B619"/>
    <mergeCell ref="C617:C619"/>
    <mergeCell ref="D617:D619"/>
    <mergeCell ref="E617:L617"/>
    <mergeCell ref="M617:M619"/>
    <mergeCell ref="N617:N619"/>
    <mergeCell ref="O617:O619"/>
    <mergeCell ref="P617:R617"/>
    <mergeCell ref="S617:S619"/>
    <mergeCell ref="B398:D398"/>
    <mergeCell ref="J398:M398"/>
    <mergeCell ref="P398:S398"/>
    <mergeCell ref="D389:T389"/>
    <mergeCell ref="D391:F391"/>
    <mergeCell ref="P391:S391"/>
    <mergeCell ref="A392:E392"/>
    <mergeCell ref="J392:M392"/>
    <mergeCell ref="P392:S392"/>
    <mergeCell ref="A393:D393"/>
    <mergeCell ref="J393:L393"/>
    <mergeCell ref="P393:S393"/>
    <mergeCell ref="T346:T348"/>
    <mergeCell ref="E347:E348"/>
    <mergeCell ref="F347:F348"/>
    <mergeCell ref="G347:J347"/>
    <mergeCell ref="K347:K348"/>
    <mergeCell ref="L347:L348"/>
    <mergeCell ref="P347:P348"/>
    <mergeCell ref="Q347:Q348"/>
    <mergeCell ref="R347:R348"/>
    <mergeCell ref="A341:H341"/>
    <mergeCell ref="Q341:S341"/>
    <mergeCell ref="A342:G342"/>
    <mergeCell ref="R342:S342"/>
    <mergeCell ref="A343:G343"/>
    <mergeCell ref="A344:S344"/>
    <mergeCell ref="A345:S345"/>
    <mergeCell ref="A346:A348"/>
    <mergeCell ref="B346:B348"/>
    <mergeCell ref="C346:C348"/>
    <mergeCell ref="D346:D348"/>
    <mergeCell ref="E346:L346"/>
    <mergeCell ref="M346:M348"/>
    <mergeCell ref="N346:N348"/>
    <mergeCell ref="O346:O348"/>
    <mergeCell ref="P346:R346"/>
    <mergeCell ref="S346:S348"/>
    <mergeCell ref="A53:D53"/>
    <mergeCell ref="J53:L53"/>
    <mergeCell ref="P53:S53"/>
    <mergeCell ref="B58:D58"/>
    <mergeCell ref="J58:M58"/>
    <mergeCell ref="P58:S58"/>
    <mergeCell ref="D51:F51"/>
    <mergeCell ref="P51:S51"/>
    <mergeCell ref="A52:E52"/>
    <mergeCell ref="T6:T8"/>
    <mergeCell ref="A1:H1"/>
    <mergeCell ref="M6:M8"/>
    <mergeCell ref="P7:P8"/>
    <mergeCell ref="Q7:Q8"/>
    <mergeCell ref="R7:R8"/>
    <mergeCell ref="N6:N8"/>
    <mergeCell ref="O6:O8"/>
    <mergeCell ref="E7:E8"/>
    <mergeCell ref="F7:F8"/>
    <mergeCell ref="G7:J7"/>
    <mergeCell ref="K7:K8"/>
    <mergeCell ref="L7:L8"/>
    <mergeCell ref="A67:H67"/>
    <mergeCell ref="Q67:S67"/>
    <mergeCell ref="A68:G68"/>
    <mergeCell ref="R68:S68"/>
    <mergeCell ref="A69:G69"/>
    <mergeCell ref="J52:M52"/>
    <mergeCell ref="P52:S52"/>
    <mergeCell ref="Q1:S1"/>
    <mergeCell ref="R2:S2"/>
    <mergeCell ref="A4:S4"/>
    <mergeCell ref="A5:S5"/>
    <mergeCell ref="P6:R6"/>
    <mergeCell ref="S6:S8"/>
    <mergeCell ref="A2:G2"/>
    <mergeCell ref="A3:G3"/>
    <mergeCell ref="A6:A8"/>
    <mergeCell ref="B6:B8"/>
    <mergeCell ref="C6:C8"/>
    <mergeCell ref="D6:D8"/>
    <mergeCell ref="E6:L6"/>
    <mergeCell ref="D49:T49"/>
    <mergeCell ref="A60:D60"/>
    <mergeCell ref="J60:L60"/>
    <mergeCell ref="P60:T60"/>
    <mergeCell ref="A70:S70"/>
    <mergeCell ref="A71:S71"/>
    <mergeCell ref="A72:A74"/>
    <mergeCell ref="B72:B74"/>
    <mergeCell ref="C72:C74"/>
    <mergeCell ref="D72:D74"/>
    <mergeCell ref="E72:L72"/>
    <mergeCell ref="M72:M74"/>
    <mergeCell ref="N72:N74"/>
    <mergeCell ref="O72:O74"/>
    <mergeCell ref="P72:R72"/>
    <mergeCell ref="S72:S74"/>
    <mergeCell ref="D115:T115"/>
    <mergeCell ref="D117:F117"/>
    <mergeCell ref="P117:S117"/>
    <mergeCell ref="A118:E118"/>
    <mergeCell ref="J118:M118"/>
    <mergeCell ref="P118:S118"/>
    <mergeCell ref="T72:T74"/>
    <mergeCell ref="E73:E74"/>
    <mergeCell ref="F73:F74"/>
    <mergeCell ref="G73:J73"/>
    <mergeCell ref="K73:K74"/>
    <mergeCell ref="L73:L74"/>
    <mergeCell ref="P73:P74"/>
    <mergeCell ref="Q73:Q74"/>
    <mergeCell ref="R73:R74"/>
    <mergeCell ref="A139:H139"/>
    <mergeCell ref="Q139:S139"/>
    <mergeCell ref="A140:G140"/>
    <mergeCell ref="R140:S140"/>
    <mergeCell ref="A141:G141"/>
    <mergeCell ref="A119:D119"/>
    <mergeCell ref="J119:L119"/>
    <mergeCell ref="P119:S119"/>
    <mergeCell ref="B124:D124"/>
    <mergeCell ref="J124:M124"/>
    <mergeCell ref="P124:S124"/>
    <mergeCell ref="A142:S142"/>
    <mergeCell ref="A143:S143"/>
    <mergeCell ref="A144:A146"/>
    <mergeCell ref="B144:B146"/>
    <mergeCell ref="C144:C146"/>
    <mergeCell ref="D144:D146"/>
    <mergeCell ref="E144:L144"/>
    <mergeCell ref="M144:M146"/>
    <mergeCell ref="N144:N146"/>
    <mergeCell ref="O144:O146"/>
    <mergeCell ref="P144:R144"/>
    <mergeCell ref="S144:S146"/>
    <mergeCell ref="T144:T146"/>
    <mergeCell ref="E145:E146"/>
    <mergeCell ref="F145:F146"/>
    <mergeCell ref="G145:J145"/>
    <mergeCell ref="K145:K146"/>
    <mergeCell ref="L145:L146"/>
    <mergeCell ref="P145:P146"/>
    <mergeCell ref="Q145:Q146"/>
    <mergeCell ref="R145:R146"/>
    <mergeCell ref="A191:D191"/>
    <mergeCell ref="J191:L191"/>
    <mergeCell ref="P191:S191"/>
    <mergeCell ref="B196:D196"/>
    <mergeCell ref="J196:M196"/>
    <mergeCell ref="P196:S196"/>
    <mergeCell ref="D187:T187"/>
    <mergeCell ref="D189:F189"/>
    <mergeCell ref="P189:S189"/>
    <mergeCell ref="A190:E190"/>
    <mergeCell ref="J190:M190"/>
    <mergeCell ref="P190:S190"/>
    <mergeCell ref="A208:H208"/>
    <mergeCell ref="Q208:S208"/>
    <mergeCell ref="A209:G209"/>
    <mergeCell ref="R209:S209"/>
    <mergeCell ref="A210:G210"/>
    <mergeCell ref="A211:S211"/>
    <mergeCell ref="A212:S212"/>
    <mergeCell ref="A213:A215"/>
    <mergeCell ref="B213:B215"/>
    <mergeCell ref="C213:C215"/>
    <mergeCell ref="D213:D215"/>
    <mergeCell ref="E213:L213"/>
    <mergeCell ref="M213:M215"/>
    <mergeCell ref="N213:N215"/>
    <mergeCell ref="O213:O215"/>
    <mergeCell ref="P213:R213"/>
    <mergeCell ref="S213:S215"/>
    <mergeCell ref="T213:T215"/>
    <mergeCell ref="E214:E215"/>
    <mergeCell ref="F214:F215"/>
    <mergeCell ref="G214:J214"/>
    <mergeCell ref="K214:K215"/>
    <mergeCell ref="L214:L215"/>
    <mergeCell ref="P214:P215"/>
    <mergeCell ref="Q214:Q215"/>
    <mergeCell ref="R214:R215"/>
    <mergeCell ref="B265:D265"/>
    <mergeCell ref="J265:M265"/>
    <mergeCell ref="P265:S265"/>
    <mergeCell ref="D256:T256"/>
    <mergeCell ref="D258:F258"/>
    <mergeCell ref="P258:S258"/>
    <mergeCell ref="A259:E259"/>
    <mergeCell ref="J259:M259"/>
    <mergeCell ref="P259:S259"/>
    <mergeCell ref="A260:D260"/>
    <mergeCell ref="J260:L260"/>
    <mergeCell ref="P260:S260"/>
    <mergeCell ref="A274:H274"/>
    <mergeCell ref="Q274:S274"/>
    <mergeCell ref="A275:G275"/>
    <mergeCell ref="R275:S275"/>
    <mergeCell ref="A276:G276"/>
    <mergeCell ref="A277:S277"/>
    <mergeCell ref="A278:S278"/>
    <mergeCell ref="A279:A281"/>
    <mergeCell ref="B279:B281"/>
    <mergeCell ref="C279:C281"/>
    <mergeCell ref="D279:D281"/>
    <mergeCell ref="E279:L279"/>
    <mergeCell ref="M279:M281"/>
    <mergeCell ref="N279:N281"/>
    <mergeCell ref="O279:O281"/>
    <mergeCell ref="P279:R279"/>
    <mergeCell ref="S279:S281"/>
    <mergeCell ref="T279:T281"/>
    <mergeCell ref="E280:E281"/>
    <mergeCell ref="F280:F281"/>
    <mergeCell ref="G280:J280"/>
    <mergeCell ref="K280:K281"/>
    <mergeCell ref="L280:L281"/>
    <mergeCell ref="P280:P281"/>
    <mergeCell ref="Q280:Q281"/>
    <mergeCell ref="R280:R281"/>
    <mergeCell ref="B331:D331"/>
    <mergeCell ref="J331:M331"/>
    <mergeCell ref="P331:S331"/>
    <mergeCell ref="D322:T322"/>
    <mergeCell ref="D324:F324"/>
    <mergeCell ref="P324:S324"/>
    <mergeCell ref="A325:E325"/>
    <mergeCell ref="J325:M325"/>
    <mergeCell ref="P325:S325"/>
    <mergeCell ref="A326:D326"/>
    <mergeCell ref="J326:L326"/>
    <mergeCell ref="P326:S326"/>
    <mergeCell ref="A407:H407"/>
    <mergeCell ref="Q407:S407"/>
    <mergeCell ref="A408:G408"/>
    <mergeCell ref="R408:S408"/>
    <mergeCell ref="A409:G409"/>
    <mergeCell ref="A410:S410"/>
    <mergeCell ref="A411:S411"/>
    <mergeCell ref="A412:A414"/>
    <mergeCell ref="B412:B414"/>
    <mergeCell ref="C412:C414"/>
    <mergeCell ref="D412:D414"/>
    <mergeCell ref="E412:L412"/>
    <mergeCell ref="M412:M414"/>
    <mergeCell ref="N412:N414"/>
    <mergeCell ref="O412:O414"/>
    <mergeCell ref="P412:R412"/>
    <mergeCell ref="S412:S414"/>
    <mergeCell ref="T412:T414"/>
    <mergeCell ref="E413:E414"/>
    <mergeCell ref="F413:F414"/>
    <mergeCell ref="G413:J413"/>
    <mergeCell ref="K413:K414"/>
    <mergeCell ref="L413:L414"/>
    <mergeCell ref="P413:P414"/>
    <mergeCell ref="Q413:Q414"/>
    <mergeCell ref="R413:R414"/>
    <mergeCell ref="D455:T455"/>
    <mergeCell ref="D457:F457"/>
    <mergeCell ref="P457:S457"/>
    <mergeCell ref="A458:E458"/>
    <mergeCell ref="J458:M458"/>
    <mergeCell ref="P458:S458"/>
    <mergeCell ref="A459:D459"/>
    <mergeCell ref="J459:L459"/>
    <mergeCell ref="P459:S459"/>
    <mergeCell ref="B464:D464"/>
    <mergeCell ref="J464:M464"/>
    <mergeCell ref="P464:S464"/>
    <mergeCell ref="A477:H477"/>
    <mergeCell ref="Q477:S477"/>
    <mergeCell ref="A478:G478"/>
    <mergeCell ref="R478:S478"/>
    <mergeCell ref="A479:G479"/>
    <mergeCell ref="A480:S480"/>
    <mergeCell ref="A481:S481"/>
    <mergeCell ref="A482:A484"/>
    <mergeCell ref="B482:B484"/>
    <mergeCell ref="C482:C484"/>
    <mergeCell ref="D482:D484"/>
    <mergeCell ref="E482:L482"/>
    <mergeCell ref="M482:M484"/>
    <mergeCell ref="N482:N484"/>
    <mergeCell ref="O482:O484"/>
    <mergeCell ref="P482:R482"/>
    <mergeCell ref="S482:S484"/>
    <mergeCell ref="T482:T484"/>
    <mergeCell ref="E483:E484"/>
    <mergeCell ref="F483:F484"/>
    <mergeCell ref="G483:J483"/>
    <mergeCell ref="K483:K484"/>
    <mergeCell ref="L483:L484"/>
    <mergeCell ref="P483:P484"/>
    <mergeCell ref="Q483:Q484"/>
    <mergeCell ref="R483:R484"/>
    <mergeCell ref="B534:D534"/>
    <mergeCell ref="J534:M534"/>
    <mergeCell ref="P534:S534"/>
    <mergeCell ref="D525:T525"/>
    <mergeCell ref="D527:F527"/>
    <mergeCell ref="P527:S527"/>
    <mergeCell ref="A528:E528"/>
    <mergeCell ref="J528:M528"/>
    <mergeCell ref="P528:S528"/>
    <mergeCell ref="A529:D529"/>
    <mergeCell ref="J529:L529"/>
    <mergeCell ref="P529:S529"/>
    <mergeCell ref="A547:H547"/>
    <mergeCell ref="Q547:S547"/>
    <mergeCell ref="A548:G548"/>
    <mergeCell ref="R548:S548"/>
    <mergeCell ref="A549:G549"/>
    <mergeCell ref="A550:S550"/>
    <mergeCell ref="A551:S551"/>
    <mergeCell ref="A552:A554"/>
    <mergeCell ref="B552:B554"/>
    <mergeCell ref="C552:C554"/>
    <mergeCell ref="D552:D554"/>
    <mergeCell ref="E552:L552"/>
    <mergeCell ref="M552:M554"/>
    <mergeCell ref="N552:N554"/>
    <mergeCell ref="O552:O554"/>
    <mergeCell ref="P552:R552"/>
    <mergeCell ref="S552:S554"/>
    <mergeCell ref="T552:T554"/>
    <mergeCell ref="E553:E554"/>
    <mergeCell ref="F553:F554"/>
    <mergeCell ref="G553:J553"/>
    <mergeCell ref="K553:K554"/>
    <mergeCell ref="L553:L554"/>
    <mergeCell ref="P553:P554"/>
    <mergeCell ref="Q553:Q554"/>
    <mergeCell ref="R553:R554"/>
    <mergeCell ref="B604:D604"/>
    <mergeCell ref="J604:M604"/>
    <mergeCell ref="P604:S604"/>
    <mergeCell ref="D595:T595"/>
    <mergeCell ref="D597:F597"/>
    <mergeCell ref="P597:S597"/>
    <mergeCell ref="A598:E598"/>
    <mergeCell ref="J598:M598"/>
    <mergeCell ref="P598:S598"/>
    <mergeCell ref="A599:D599"/>
    <mergeCell ref="J599:L599"/>
    <mergeCell ref="P599:S599"/>
  </mergeCells>
  <conditionalFormatting sqref="I596:J597 G557:G562 I556:J594 I526:J527 G487:G492 I486:J524 I456:J457 G417:G422 I416:J454 I50:J51 I10:J48 G11:G16 I116:J117 I76:J114 G77:G82 I188:J189 I148:J186 G149:G154 I257:J258 G218:G223 I217:J255 I323:J324 G284:G289 I283:J321 I390:J391 G351:G356 I350:J388 I661:J662 G622:G627 I621:J659">
    <cfRule type="expression" dxfId="17" priority="32" stopIfTrue="1">
      <formula>#REF!=0</formula>
    </cfRule>
  </conditionalFormatting>
  <conditionalFormatting sqref="G689:G694 I728:J729 I688:J726">
    <cfRule type="expression" dxfId="16" priority="4" stopIfTrue="1">
      <formula>#REF!=0</formula>
    </cfRule>
  </conditionalFormatting>
  <conditionalFormatting sqref="G689:G692 G694 I688:J724">
    <cfRule type="expression" dxfId="15" priority="3" stopIfTrue="1">
      <formula>#REF!=0</formula>
    </cfRule>
  </conditionalFormatting>
  <conditionalFormatting sqref="G751:G756 I790:J791 I750:J788">
    <cfRule type="expression" dxfId="14" priority="2" stopIfTrue="1">
      <formula>#REF!=0</formula>
    </cfRule>
  </conditionalFormatting>
  <conditionalFormatting sqref="G751:G754 G756 I750:J786">
    <cfRule type="expression" dxfId="13" priority="1" stopIfTrue="1">
      <formula>#REF!=0</formula>
    </cfRule>
  </conditionalFormatting>
  <pageMargins left="0.24" right="0.16" top="0.3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84"/>
  <sheetViews>
    <sheetView tabSelected="1" topLeftCell="A957" workbookViewId="0">
      <selection activeCell="G970" sqref="G970:M970"/>
    </sheetView>
  </sheetViews>
  <sheetFormatPr defaultRowHeight="15"/>
  <cols>
    <col min="1" max="1" width="4.140625" customWidth="1"/>
    <col min="2" max="2" width="22.28515625" customWidth="1"/>
    <col min="3" max="3" width="15.140625" customWidth="1"/>
    <col min="4" max="4" width="15" customWidth="1"/>
    <col min="5" max="5" width="12.5703125" customWidth="1"/>
    <col min="6" max="6" width="12" customWidth="1"/>
    <col min="7" max="7" width="10.140625" customWidth="1"/>
    <col min="8" max="8" width="7.7109375" customWidth="1"/>
    <col min="9" max="9" width="6.7109375" customWidth="1"/>
    <col min="10" max="10" width="9" customWidth="1"/>
    <col min="11" max="11" width="6.42578125" customWidth="1"/>
    <col min="12" max="12" width="7" customWidth="1"/>
    <col min="13" max="13" width="9.7109375" customWidth="1"/>
    <col min="15" max="15" width="10.7109375" customWidth="1"/>
    <col min="16" max="16" width="12.140625" customWidth="1"/>
  </cols>
  <sheetData>
    <row r="1" spans="1:13" ht="18.75">
      <c r="A1" s="253" t="s">
        <v>102</v>
      </c>
      <c r="B1" s="253"/>
      <c r="C1" s="253"/>
      <c r="D1" s="253"/>
      <c r="E1" s="253"/>
      <c r="F1" s="253"/>
      <c r="G1" s="253"/>
      <c r="H1" s="253"/>
      <c r="I1" s="253"/>
      <c r="J1" s="253"/>
      <c r="K1" s="242" t="s">
        <v>103</v>
      </c>
      <c r="L1" s="242"/>
      <c r="M1" s="81"/>
    </row>
    <row r="2" spans="1:13" ht="18.75">
      <c r="A2" s="254" t="s">
        <v>153</v>
      </c>
      <c r="B2" s="254"/>
      <c r="C2" s="254"/>
      <c r="D2" s="254"/>
      <c r="E2" s="254"/>
      <c r="F2" s="254"/>
      <c r="G2" s="254"/>
      <c r="H2" s="254"/>
      <c r="I2" s="254"/>
      <c r="J2" s="254"/>
      <c r="K2" s="255" t="s">
        <v>154</v>
      </c>
      <c r="L2" s="255"/>
      <c r="M2" s="82"/>
    </row>
    <row r="3" spans="1:13" ht="18.75">
      <c r="A3" s="83"/>
      <c r="B3" s="83"/>
      <c r="C3" s="254" t="s">
        <v>104</v>
      </c>
      <c r="D3" s="254"/>
      <c r="E3" s="254"/>
      <c r="F3" s="254"/>
      <c r="G3" s="254"/>
      <c r="H3" s="254"/>
      <c r="I3" s="254"/>
      <c r="J3" s="83"/>
      <c r="K3" s="83"/>
      <c r="L3" s="83"/>
      <c r="M3" s="82"/>
    </row>
    <row r="4" spans="1:13" ht="16.5">
      <c r="A4" s="256" t="s">
        <v>105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82"/>
    </row>
    <row r="5" spans="1:13" ht="16.5">
      <c r="A5" s="256" t="s">
        <v>106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82"/>
    </row>
    <row r="6" spans="1:13" ht="16.5">
      <c r="A6" s="256" t="s">
        <v>107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82"/>
    </row>
    <row r="7" spans="1:13" ht="15.75">
      <c r="A7" s="257" t="s">
        <v>155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82"/>
    </row>
    <row r="8" spans="1:13">
      <c r="A8" s="245" t="s">
        <v>0</v>
      </c>
      <c r="B8" s="247" t="s">
        <v>108</v>
      </c>
      <c r="C8" s="249" t="s">
        <v>109</v>
      </c>
      <c r="D8" s="249"/>
      <c r="E8" s="247" t="s">
        <v>110</v>
      </c>
      <c r="F8" s="250" t="s">
        <v>111</v>
      </c>
      <c r="G8" s="251"/>
      <c r="H8" s="251"/>
      <c r="I8" s="251"/>
      <c r="J8" s="251"/>
      <c r="K8" s="251"/>
      <c r="L8" s="252"/>
      <c r="M8" s="247" t="s">
        <v>57</v>
      </c>
    </row>
    <row r="9" spans="1:13" ht="42">
      <c r="A9" s="246"/>
      <c r="B9" s="248"/>
      <c r="C9" s="84" t="s">
        <v>112</v>
      </c>
      <c r="D9" s="84" t="s">
        <v>113</v>
      </c>
      <c r="E9" s="248"/>
      <c r="F9" s="84" t="s">
        <v>114</v>
      </c>
      <c r="G9" s="85" t="s">
        <v>115</v>
      </c>
      <c r="H9" s="85" t="s">
        <v>116</v>
      </c>
      <c r="I9" s="84" t="s">
        <v>117</v>
      </c>
      <c r="J9" s="84" t="s">
        <v>118</v>
      </c>
      <c r="K9" s="84" t="s">
        <v>119</v>
      </c>
      <c r="L9" s="84" t="s">
        <v>120</v>
      </c>
      <c r="M9" s="248"/>
    </row>
    <row r="10" spans="1:13">
      <c r="A10" s="86">
        <v>1</v>
      </c>
      <c r="B10" s="86">
        <v>2</v>
      </c>
      <c r="C10" s="86">
        <v>3</v>
      </c>
      <c r="D10" s="86"/>
      <c r="E10" s="86">
        <v>4</v>
      </c>
      <c r="F10" s="86">
        <v>5</v>
      </c>
      <c r="G10" s="86">
        <v>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</row>
    <row r="11" spans="1:13">
      <c r="A11" s="87"/>
      <c r="B11" s="88" t="s">
        <v>110</v>
      </c>
      <c r="C11" s="87"/>
      <c r="D11" s="87"/>
      <c r="E11" s="89">
        <f t="shared" ref="E11:J11" si="0">E12+E49+E51</f>
        <v>298672249.78090012</v>
      </c>
      <c r="F11" s="89">
        <f t="shared" si="0"/>
        <v>295163849.78090012</v>
      </c>
      <c r="G11" s="89">
        <f t="shared" si="0"/>
        <v>3508400</v>
      </c>
      <c r="H11" s="89">
        <f t="shared" si="0"/>
        <v>0</v>
      </c>
      <c r="I11" s="89">
        <f t="shared" si="0"/>
        <v>0</v>
      </c>
      <c r="J11" s="89">
        <f t="shared" si="0"/>
        <v>0</v>
      </c>
      <c r="K11" s="87"/>
      <c r="L11" s="87"/>
      <c r="M11" s="87"/>
    </row>
    <row r="12" spans="1:13">
      <c r="A12" s="90" t="s">
        <v>121</v>
      </c>
      <c r="B12" s="88" t="s">
        <v>122</v>
      </c>
      <c r="C12" s="87"/>
      <c r="D12" s="87"/>
      <c r="E12" s="89">
        <f>SUM(E13:E48)</f>
        <v>295163849.78090012</v>
      </c>
      <c r="F12" s="89">
        <f t="shared" ref="F12:J12" si="1">SUM(F13:F48)</f>
        <v>295163849.78090012</v>
      </c>
      <c r="G12" s="89">
        <f t="shared" si="1"/>
        <v>0</v>
      </c>
      <c r="H12" s="89">
        <f t="shared" si="1"/>
        <v>0</v>
      </c>
      <c r="I12" s="89">
        <f t="shared" si="1"/>
        <v>0</v>
      </c>
      <c r="J12" s="89">
        <f t="shared" si="1"/>
        <v>0</v>
      </c>
      <c r="K12" s="87"/>
      <c r="L12" s="87"/>
      <c r="M12" s="87"/>
    </row>
    <row r="13" spans="1:13" ht="15.75">
      <c r="A13" s="87">
        <v>1</v>
      </c>
      <c r="B13" s="91" t="s">
        <v>60</v>
      </c>
      <c r="C13" s="92">
        <v>4002205008058</v>
      </c>
      <c r="D13" s="93" t="s">
        <v>123</v>
      </c>
      <c r="E13" s="94">
        <f>SUM(F13:L13)</f>
        <v>11208621</v>
      </c>
      <c r="F13" s="95">
        <v>11208621</v>
      </c>
      <c r="G13" s="87"/>
      <c r="H13" s="87"/>
      <c r="I13" s="87"/>
      <c r="J13" s="94"/>
      <c r="K13" s="87"/>
      <c r="L13" s="87"/>
      <c r="M13" s="87"/>
    </row>
    <row r="14" spans="1:13" ht="15.75">
      <c r="A14" s="87">
        <v>2</v>
      </c>
      <c r="B14" s="96" t="s">
        <v>28</v>
      </c>
      <c r="C14" s="92">
        <v>4002215013939</v>
      </c>
      <c r="D14" s="93" t="s">
        <v>123</v>
      </c>
      <c r="E14" s="94">
        <f t="shared" ref="E14:E23" si="2">SUM(F14:L14)</f>
        <v>11159053</v>
      </c>
      <c r="F14" s="95">
        <v>11159053</v>
      </c>
      <c r="G14" s="87"/>
      <c r="H14" s="87"/>
      <c r="I14" s="87"/>
      <c r="J14" s="94"/>
      <c r="K14" s="87"/>
      <c r="L14" s="87"/>
      <c r="M14" s="87"/>
    </row>
    <row r="15" spans="1:13" ht="15.75">
      <c r="A15" s="87">
        <v>3</v>
      </c>
      <c r="B15" s="96" t="s">
        <v>30</v>
      </c>
      <c r="C15" s="92">
        <v>4002205008353</v>
      </c>
      <c r="D15" s="93" t="s">
        <v>123</v>
      </c>
      <c r="E15" s="94">
        <f t="shared" si="2"/>
        <v>11057511</v>
      </c>
      <c r="F15" s="95">
        <v>11057511</v>
      </c>
      <c r="G15" s="87"/>
      <c r="H15" s="87"/>
      <c r="I15" s="87"/>
      <c r="J15" s="94"/>
      <c r="K15" s="87"/>
      <c r="L15" s="87"/>
      <c r="M15" s="87"/>
    </row>
    <row r="16" spans="1:13" ht="15.75">
      <c r="A16" s="87">
        <v>4</v>
      </c>
      <c r="B16" s="96" t="s">
        <v>32</v>
      </c>
      <c r="C16" s="92">
        <v>4002205007706</v>
      </c>
      <c r="D16" s="93" t="s">
        <v>123</v>
      </c>
      <c r="E16" s="94">
        <f t="shared" si="2"/>
        <v>11331769.828500003</v>
      </c>
      <c r="F16" s="95">
        <v>11331769.828500003</v>
      </c>
      <c r="G16" s="97"/>
      <c r="H16" s="87"/>
      <c r="I16" s="87"/>
      <c r="J16" s="94"/>
      <c r="K16" s="87"/>
      <c r="L16" s="87"/>
      <c r="M16" s="87"/>
    </row>
    <row r="17" spans="1:13" ht="15.75">
      <c r="A17" s="87">
        <v>5</v>
      </c>
      <c r="B17" s="96" t="s">
        <v>124</v>
      </c>
      <c r="C17" s="92">
        <v>4002205007577</v>
      </c>
      <c r="D17" s="93" t="s">
        <v>123</v>
      </c>
      <c r="E17" s="94">
        <f t="shared" si="2"/>
        <v>11654903.312400002</v>
      </c>
      <c r="F17" s="95">
        <v>11654903.312400002</v>
      </c>
      <c r="G17" s="87"/>
      <c r="H17" s="87"/>
      <c r="I17" s="87"/>
      <c r="J17" s="94"/>
      <c r="K17" s="87"/>
      <c r="L17" s="87"/>
      <c r="M17" s="87"/>
    </row>
    <row r="18" spans="1:13" ht="15.75">
      <c r="A18" s="87">
        <v>6</v>
      </c>
      <c r="B18" s="96" t="s">
        <v>84</v>
      </c>
      <c r="C18" s="92">
        <v>4002205099727</v>
      </c>
      <c r="D18" s="93" t="s">
        <v>123</v>
      </c>
      <c r="E18" s="94">
        <f t="shared" si="2"/>
        <v>10096917.949999999</v>
      </c>
      <c r="F18" s="95">
        <v>10096917.949999999</v>
      </c>
      <c r="G18" s="87"/>
      <c r="H18" s="87"/>
      <c r="I18" s="87"/>
      <c r="J18" s="94"/>
      <c r="K18" s="87"/>
      <c r="L18" s="87"/>
      <c r="M18" s="87"/>
    </row>
    <row r="19" spans="1:13" ht="15.75">
      <c r="A19" s="87">
        <v>7</v>
      </c>
      <c r="B19" s="96" t="s">
        <v>31</v>
      </c>
      <c r="C19" s="98">
        <v>4002215005454</v>
      </c>
      <c r="D19" s="93" t="s">
        <v>123</v>
      </c>
      <c r="E19" s="94">
        <f t="shared" si="2"/>
        <v>10402364.969999999</v>
      </c>
      <c r="F19" s="95">
        <v>10402364.969999999</v>
      </c>
      <c r="G19" s="87"/>
      <c r="H19" s="87"/>
      <c r="I19" s="87"/>
      <c r="J19" s="94"/>
      <c r="K19" s="87"/>
      <c r="L19" s="87"/>
      <c r="M19" s="87"/>
    </row>
    <row r="20" spans="1:13" ht="15.75">
      <c r="A20" s="87">
        <v>8</v>
      </c>
      <c r="B20" s="96" t="s">
        <v>125</v>
      </c>
      <c r="C20" s="92">
        <v>4002215005369</v>
      </c>
      <c r="D20" s="93" t="s">
        <v>123</v>
      </c>
      <c r="E20" s="94">
        <f t="shared" si="2"/>
        <v>9643779.1500000004</v>
      </c>
      <c r="F20" s="95">
        <v>9643779.1500000004</v>
      </c>
      <c r="G20" s="87"/>
      <c r="H20" s="87"/>
      <c r="I20" s="87"/>
      <c r="J20" s="94"/>
      <c r="K20" s="87"/>
      <c r="L20" s="87"/>
      <c r="M20" s="87"/>
    </row>
    <row r="21" spans="1:13" ht="15.75">
      <c r="A21" s="87">
        <v>9</v>
      </c>
      <c r="B21" s="96" t="s">
        <v>33</v>
      </c>
      <c r="C21" s="98">
        <v>4002215013980</v>
      </c>
      <c r="D21" s="93" t="s">
        <v>123</v>
      </c>
      <c r="E21" s="94">
        <f t="shared" si="2"/>
        <v>9993888.1750000007</v>
      </c>
      <c r="F21" s="95">
        <v>9993888.1750000007</v>
      </c>
      <c r="G21" s="97"/>
      <c r="H21" s="87"/>
      <c r="I21" s="87"/>
      <c r="J21" s="94"/>
      <c r="K21" s="87"/>
      <c r="L21" s="87"/>
      <c r="M21" s="87"/>
    </row>
    <row r="22" spans="1:13" ht="15.75">
      <c r="A22" s="87">
        <v>10</v>
      </c>
      <c r="B22" s="96" t="s">
        <v>34</v>
      </c>
      <c r="C22" s="92">
        <v>4002215014006</v>
      </c>
      <c r="D22" s="93" t="s">
        <v>123</v>
      </c>
      <c r="E22" s="94">
        <f t="shared" si="2"/>
        <v>8728944.4800000004</v>
      </c>
      <c r="F22" s="95">
        <v>8728944.4800000004</v>
      </c>
      <c r="G22" s="87"/>
      <c r="H22" s="87"/>
      <c r="I22" s="87"/>
      <c r="J22" s="94"/>
      <c r="K22" s="87"/>
      <c r="L22" s="87"/>
      <c r="M22" s="87"/>
    </row>
    <row r="23" spans="1:13" ht="15.75">
      <c r="A23" s="87">
        <v>11</v>
      </c>
      <c r="B23" s="99" t="s">
        <v>36</v>
      </c>
      <c r="C23" s="98">
        <v>4002215020718</v>
      </c>
      <c r="D23" s="93" t="s">
        <v>123</v>
      </c>
      <c r="E23" s="94">
        <f t="shared" si="2"/>
        <v>9193338.7400000021</v>
      </c>
      <c r="F23" s="95">
        <v>9193338.7400000021</v>
      </c>
      <c r="G23" s="87"/>
      <c r="H23" s="87"/>
      <c r="I23" s="87"/>
      <c r="J23" s="94"/>
      <c r="K23" s="87"/>
      <c r="L23" s="87"/>
      <c r="M23" s="87"/>
    </row>
    <row r="24" spans="1:13" ht="15.75">
      <c r="A24" s="87">
        <v>12</v>
      </c>
      <c r="B24" s="96" t="s">
        <v>59</v>
      </c>
      <c r="C24" s="92">
        <v>4002215018587</v>
      </c>
      <c r="D24" s="93" t="s">
        <v>123</v>
      </c>
      <c r="E24" s="94">
        <f>SUM(F24:L24)</f>
        <v>6109968.4999999991</v>
      </c>
      <c r="F24" s="95">
        <v>6109968.4999999991</v>
      </c>
      <c r="G24" s="97"/>
      <c r="H24" s="87"/>
      <c r="I24" s="87"/>
      <c r="J24" s="94"/>
      <c r="K24" s="87"/>
      <c r="L24" s="87"/>
      <c r="M24" s="87"/>
    </row>
    <row r="25" spans="1:13" ht="15.75">
      <c r="A25" s="87">
        <v>13</v>
      </c>
      <c r="B25" s="96" t="s">
        <v>126</v>
      </c>
      <c r="C25" s="98">
        <v>4002215013945</v>
      </c>
      <c r="D25" s="93" t="s">
        <v>123</v>
      </c>
      <c r="E25" s="94">
        <f t="shared" ref="E25:E29" si="3">SUM(F25:L25)</f>
        <v>8786553.8400000017</v>
      </c>
      <c r="F25" s="95">
        <v>8786553.8400000017</v>
      </c>
      <c r="G25" s="87"/>
      <c r="H25" s="87"/>
      <c r="I25" s="87"/>
      <c r="J25" s="94"/>
      <c r="K25" s="87"/>
      <c r="L25" s="87"/>
      <c r="M25" s="87"/>
    </row>
    <row r="26" spans="1:13" ht="15.75">
      <c r="A26" s="87">
        <v>14</v>
      </c>
      <c r="B26" s="96" t="s">
        <v>37</v>
      </c>
      <c r="C26" s="98">
        <v>4002205015211</v>
      </c>
      <c r="D26" s="93" t="s">
        <v>123</v>
      </c>
      <c r="E26" s="94">
        <f t="shared" si="3"/>
        <v>8786553.8400000017</v>
      </c>
      <c r="F26" s="95">
        <v>8786553.8400000017</v>
      </c>
      <c r="G26" s="87"/>
      <c r="H26" s="87"/>
      <c r="I26" s="87"/>
      <c r="J26" s="94"/>
      <c r="K26" s="87"/>
      <c r="L26" s="87"/>
      <c r="M26" s="87"/>
    </row>
    <row r="27" spans="1:13" ht="15.75">
      <c r="A27" s="87">
        <v>15</v>
      </c>
      <c r="B27" s="96" t="s">
        <v>127</v>
      </c>
      <c r="C27" s="92">
        <v>4002215013793</v>
      </c>
      <c r="D27" s="93" t="s">
        <v>123</v>
      </c>
      <c r="E27" s="94">
        <f t="shared" si="3"/>
        <v>8786553.8400000017</v>
      </c>
      <c r="F27" s="95">
        <v>8786553.8400000017</v>
      </c>
      <c r="G27" s="87"/>
      <c r="H27" s="87"/>
      <c r="I27" s="87"/>
      <c r="J27" s="94"/>
      <c r="K27" s="87"/>
      <c r="L27" s="87"/>
      <c r="M27" s="87"/>
    </row>
    <row r="28" spans="1:13" ht="15.75">
      <c r="A28" s="87">
        <v>16</v>
      </c>
      <c r="B28" s="96" t="s">
        <v>38</v>
      </c>
      <c r="C28" s="98">
        <v>4002215013895</v>
      </c>
      <c r="D28" s="93" t="s">
        <v>123</v>
      </c>
      <c r="E28" s="94">
        <f t="shared" si="3"/>
        <v>8671335.1199999992</v>
      </c>
      <c r="F28" s="95">
        <v>8671335.1199999992</v>
      </c>
      <c r="G28" s="87"/>
      <c r="H28" s="87"/>
      <c r="I28" s="87"/>
      <c r="J28" s="94"/>
      <c r="K28" s="87"/>
      <c r="L28" s="87"/>
      <c r="M28" s="87"/>
    </row>
    <row r="29" spans="1:13" ht="15.75">
      <c r="A29" s="87">
        <v>17</v>
      </c>
      <c r="B29" s="96" t="s">
        <v>128</v>
      </c>
      <c r="C29" s="98">
        <v>4002215005483</v>
      </c>
      <c r="D29" s="93" t="s">
        <v>123</v>
      </c>
      <c r="E29" s="94">
        <f t="shared" si="3"/>
        <v>8671335.1199999992</v>
      </c>
      <c r="F29" s="95">
        <v>8671335.1199999992</v>
      </c>
      <c r="G29" s="87"/>
      <c r="H29" s="87"/>
      <c r="I29" s="87"/>
      <c r="J29" s="94"/>
      <c r="K29" s="87"/>
      <c r="L29" s="87"/>
      <c r="M29" s="87"/>
    </row>
    <row r="30" spans="1:13" ht="15.75">
      <c r="A30" s="87">
        <v>18</v>
      </c>
      <c r="B30" s="96" t="s">
        <v>91</v>
      </c>
      <c r="C30" s="100">
        <v>4001205046288</v>
      </c>
      <c r="D30" s="93" t="s">
        <v>129</v>
      </c>
      <c r="E30" s="94">
        <f>SUM(F30:L30)</f>
        <v>9032032.8300000001</v>
      </c>
      <c r="F30" s="101">
        <v>9032032.8300000001</v>
      </c>
      <c r="G30" s="87"/>
      <c r="H30" s="87"/>
      <c r="I30" s="87"/>
      <c r="J30" s="94"/>
      <c r="K30" s="87"/>
      <c r="L30" s="87"/>
      <c r="M30" s="87"/>
    </row>
    <row r="31" spans="1:13" ht="15.75">
      <c r="A31" s="87">
        <v>19</v>
      </c>
      <c r="B31" s="99" t="s">
        <v>39</v>
      </c>
      <c r="C31" s="98">
        <v>4002205007627</v>
      </c>
      <c r="D31" s="93" t="s">
        <v>123</v>
      </c>
      <c r="E31" s="94">
        <f t="shared" ref="E31:E48" si="4">SUM(F31:L31)</f>
        <v>8901772.5600000005</v>
      </c>
      <c r="F31" s="95">
        <v>8901772.5600000005</v>
      </c>
      <c r="G31" s="87"/>
      <c r="H31" s="87"/>
      <c r="I31" s="87"/>
      <c r="J31" s="94"/>
      <c r="K31" s="87"/>
      <c r="L31" s="87"/>
      <c r="M31" s="87"/>
    </row>
    <row r="32" spans="1:13" ht="15.75">
      <c r="A32" s="87">
        <v>20</v>
      </c>
      <c r="B32" s="96" t="s">
        <v>40</v>
      </c>
      <c r="C32" s="98">
        <v>4002205008006</v>
      </c>
      <c r="D32" s="93" t="s">
        <v>123</v>
      </c>
      <c r="E32" s="94">
        <f t="shared" si="4"/>
        <v>8249811.8849999998</v>
      </c>
      <c r="F32" s="94">
        <v>8249811.8849999998</v>
      </c>
      <c r="G32" s="87"/>
      <c r="H32" s="87"/>
      <c r="I32" s="87"/>
      <c r="J32" s="94"/>
      <c r="K32" s="87"/>
      <c r="L32" s="87"/>
      <c r="M32" s="87"/>
    </row>
    <row r="33" spans="1:13" ht="15.75">
      <c r="A33" s="87">
        <v>21</v>
      </c>
      <c r="B33" s="96" t="s">
        <v>130</v>
      </c>
      <c r="C33" s="102">
        <v>4002215013808</v>
      </c>
      <c r="D33" s="93" t="s">
        <v>123</v>
      </c>
      <c r="E33" s="94">
        <f t="shared" si="4"/>
        <v>8008941.4649999999</v>
      </c>
      <c r="F33" s="95">
        <v>8008941.4649999999</v>
      </c>
      <c r="G33" s="87"/>
      <c r="H33" s="87"/>
      <c r="I33" s="87"/>
      <c r="J33" s="94"/>
      <c r="K33" s="87"/>
      <c r="L33" s="87"/>
      <c r="M33" s="87"/>
    </row>
    <row r="34" spans="1:13" ht="15.75">
      <c r="A34" s="87">
        <v>22</v>
      </c>
      <c r="B34" s="99" t="s">
        <v>41</v>
      </c>
      <c r="C34" s="98">
        <v>4002215005490</v>
      </c>
      <c r="D34" s="93" t="s">
        <v>123</v>
      </c>
      <c r="E34" s="94">
        <f t="shared" si="4"/>
        <v>7955732.8200000003</v>
      </c>
      <c r="F34" s="95">
        <v>7955732.8200000003</v>
      </c>
      <c r="G34" s="97"/>
      <c r="H34" s="87"/>
      <c r="I34" s="87"/>
      <c r="J34" s="94"/>
      <c r="K34" s="87"/>
      <c r="L34" s="87"/>
      <c r="M34" s="87"/>
    </row>
    <row r="35" spans="1:13" ht="15.75">
      <c r="A35" s="87">
        <v>23</v>
      </c>
      <c r="B35" s="99" t="s">
        <v>42</v>
      </c>
      <c r="C35" s="98">
        <v>4002215005425</v>
      </c>
      <c r="D35" s="93" t="s">
        <v>123</v>
      </c>
      <c r="E35" s="94">
        <f t="shared" si="4"/>
        <v>8157941.4649999999</v>
      </c>
      <c r="F35" s="95">
        <v>8157941.4649999999</v>
      </c>
      <c r="G35" s="87"/>
      <c r="H35" s="87"/>
      <c r="I35" s="87"/>
      <c r="J35" s="94"/>
      <c r="K35" s="87"/>
      <c r="L35" s="87"/>
      <c r="M35" s="87"/>
    </row>
    <row r="36" spans="1:13" ht="15.75">
      <c r="A36" s="87">
        <v>24</v>
      </c>
      <c r="B36" s="96" t="s">
        <v>131</v>
      </c>
      <c r="C36" s="92">
        <v>4002215005280</v>
      </c>
      <c r="D36" s="93" t="s">
        <v>123</v>
      </c>
      <c r="E36" s="94">
        <f t="shared" si="4"/>
        <v>7902524.1749999998</v>
      </c>
      <c r="F36" s="95">
        <v>7902524.1749999998</v>
      </c>
      <c r="G36" s="87"/>
      <c r="H36" s="87"/>
      <c r="I36" s="87"/>
      <c r="J36" s="94"/>
      <c r="K36" s="87"/>
      <c r="L36" s="87"/>
      <c r="M36" s="87"/>
    </row>
    <row r="37" spans="1:13" ht="15.75">
      <c r="A37" s="87">
        <v>25</v>
      </c>
      <c r="B37" s="96" t="s">
        <v>43</v>
      </c>
      <c r="C37" s="92">
        <v>4002215024731</v>
      </c>
      <c r="D37" s="93" t="s">
        <v>123</v>
      </c>
      <c r="E37" s="94">
        <f t="shared" si="4"/>
        <v>7902524.1749999998</v>
      </c>
      <c r="F37" s="95">
        <v>7902524.1749999998</v>
      </c>
      <c r="G37" s="87"/>
      <c r="H37" s="87"/>
      <c r="I37" s="87"/>
      <c r="J37" s="94"/>
      <c r="K37" s="87"/>
      <c r="L37" s="87"/>
      <c r="M37" s="87"/>
    </row>
    <row r="38" spans="1:13" ht="15.75">
      <c r="A38" s="87">
        <v>26</v>
      </c>
      <c r="B38" s="96" t="s">
        <v>58</v>
      </c>
      <c r="C38" s="98">
        <v>4002205100941</v>
      </c>
      <c r="D38" s="93" t="s">
        <v>123</v>
      </c>
      <c r="E38" s="94">
        <f t="shared" si="4"/>
        <v>6417710.8649999993</v>
      </c>
      <c r="F38" s="95">
        <v>6417710.8649999993</v>
      </c>
      <c r="G38" s="87"/>
      <c r="H38" s="87"/>
      <c r="I38" s="87"/>
      <c r="J38" s="94"/>
      <c r="K38" s="87"/>
      <c r="L38" s="87"/>
      <c r="M38" s="87"/>
    </row>
    <row r="39" spans="1:13" ht="15.75">
      <c r="A39" s="87">
        <v>27</v>
      </c>
      <c r="B39" s="96" t="s">
        <v>44</v>
      </c>
      <c r="C39" s="92">
        <v>4002205008330</v>
      </c>
      <c r="D39" s="93" t="s">
        <v>123</v>
      </c>
      <c r="E39" s="94">
        <f t="shared" si="4"/>
        <v>7849315.5300000003</v>
      </c>
      <c r="F39" s="95">
        <v>7849315.5300000003</v>
      </c>
      <c r="G39" s="97"/>
      <c r="H39" s="87"/>
      <c r="I39" s="87"/>
      <c r="J39" s="94"/>
      <c r="K39" s="87"/>
      <c r="L39" s="87"/>
      <c r="M39" s="87"/>
    </row>
    <row r="40" spans="1:13">
      <c r="A40" s="87">
        <v>28</v>
      </c>
      <c r="B40" s="103" t="s">
        <v>132</v>
      </c>
      <c r="C40" s="100">
        <v>4002215005323</v>
      </c>
      <c r="D40" s="93" t="s">
        <v>123</v>
      </c>
      <c r="E40" s="94">
        <f t="shared" si="4"/>
        <v>0</v>
      </c>
      <c r="F40" s="104">
        <v>0</v>
      </c>
      <c r="G40" s="87"/>
      <c r="H40" s="87"/>
      <c r="I40" s="87"/>
      <c r="J40" s="94"/>
      <c r="K40" s="87"/>
      <c r="L40" s="87"/>
      <c r="M40" s="87" t="s">
        <v>152</v>
      </c>
    </row>
    <row r="41" spans="1:13" ht="15.75">
      <c r="A41" s="87">
        <v>29</v>
      </c>
      <c r="B41" s="99" t="s">
        <v>46</v>
      </c>
      <c r="C41" s="105">
        <v>4002215005510</v>
      </c>
      <c r="D41" s="93" t="s">
        <v>123</v>
      </c>
      <c r="E41" s="94">
        <f t="shared" si="4"/>
        <v>7815646</v>
      </c>
      <c r="F41" s="104">
        <v>7815646</v>
      </c>
      <c r="G41" s="87"/>
      <c r="H41" s="87"/>
      <c r="I41" s="87"/>
      <c r="J41" s="94"/>
      <c r="K41" s="87"/>
      <c r="L41" s="87"/>
      <c r="M41" s="87"/>
    </row>
    <row r="42" spans="1:13" ht="15.75">
      <c r="A42" s="87">
        <v>30</v>
      </c>
      <c r="B42" s="96" t="s">
        <v>47</v>
      </c>
      <c r="C42" s="98">
        <v>4002215013889</v>
      </c>
      <c r="D42" s="93" t="s">
        <v>123</v>
      </c>
      <c r="E42" s="94">
        <f t="shared" si="4"/>
        <v>7902524.1749999998</v>
      </c>
      <c r="F42" s="104">
        <v>7902524.1749999998</v>
      </c>
      <c r="G42" s="87"/>
      <c r="H42" s="87"/>
      <c r="I42" s="87"/>
      <c r="J42" s="94"/>
      <c r="K42" s="87"/>
      <c r="L42" s="87"/>
      <c r="M42" s="87"/>
    </row>
    <row r="43" spans="1:13" ht="15.75">
      <c r="A43" s="87">
        <v>31</v>
      </c>
      <c r="B43" s="96" t="s">
        <v>48</v>
      </c>
      <c r="C43" s="92">
        <v>4002215005346</v>
      </c>
      <c r="D43" s="93" t="s">
        <v>123</v>
      </c>
      <c r="E43" s="94">
        <f t="shared" si="4"/>
        <v>7151316.0900000008</v>
      </c>
      <c r="F43" s="104">
        <v>7151316.0900000008</v>
      </c>
      <c r="G43" s="87"/>
      <c r="H43" s="87"/>
      <c r="I43" s="87"/>
      <c r="J43" s="94"/>
      <c r="K43" s="87"/>
      <c r="L43" s="87"/>
      <c r="M43" s="87"/>
    </row>
    <row r="44" spans="1:13" ht="15.75">
      <c r="A44" s="87">
        <v>32</v>
      </c>
      <c r="B44" s="96" t="s">
        <v>92</v>
      </c>
      <c r="C44" s="98">
        <v>4002215021438</v>
      </c>
      <c r="D44" s="93" t="s">
        <v>123</v>
      </c>
      <c r="E44" s="94">
        <f t="shared" si="4"/>
        <v>6373303.6500000004</v>
      </c>
      <c r="F44" s="104">
        <v>6373303.6500000004</v>
      </c>
      <c r="G44" s="87"/>
      <c r="H44" s="87"/>
      <c r="I44" s="87"/>
      <c r="J44" s="94"/>
      <c r="K44" s="87"/>
      <c r="L44" s="87"/>
      <c r="M44" s="87"/>
    </row>
    <row r="45" spans="1:13" ht="15.75">
      <c r="A45" s="87">
        <v>33</v>
      </c>
      <c r="B45" s="96" t="s">
        <v>93</v>
      </c>
      <c r="C45" s="98">
        <v>4002205007265</v>
      </c>
      <c r="D45" s="93" t="s">
        <v>123</v>
      </c>
      <c r="E45" s="94">
        <f t="shared" si="4"/>
        <v>7053700.2299999986</v>
      </c>
      <c r="F45" s="104">
        <v>7053700.2299999986</v>
      </c>
      <c r="G45" s="87"/>
      <c r="H45" s="87"/>
      <c r="I45" s="87"/>
      <c r="J45" s="94"/>
      <c r="K45" s="87"/>
      <c r="L45" s="87"/>
      <c r="M45" s="87"/>
    </row>
    <row r="46" spans="1:13" ht="22.5">
      <c r="A46" s="87">
        <v>34</v>
      </c>
      <c r="B46" s="96" t="s">
        <v>95</v>
      </c>
      <c r="C46" s="100">
        <v>4009205061263</v>
      </c>
      <c r="D46" s="106" t="s">
        <v>133</v>
      </c>
      <c r="E46" s="104">
        <f t="shared" si="4"/>
        <v>5341650</v>
      </c>
      <c r="F46" s="104">
        <v>5341650</v>
      </c>
      <c r="G46" s="87"/>
      <c r="H46" s="87"/>
      <c r="I46" s="87"/>
      <c r="J46" s="94"/>
      <c r="K46" s="87"/>
      <c r="L46" s="87"/>
      <c r="M46" s="87"/>
    </row>
    <row r="47" spans="1:13" ht="15.75">
      <c r="A47" s="87">
        <v>35</v>
      </c>
      <c r="B47" s="96" t="s">
        <v>49</v>
      </c>
      <c r="C47" s="100">
        <v>4002215005330</v>
      </c>
      <c r="D47" s="93" t="s">
        <v>123</v>
      </c>
      <c r="E47" s="94">
        <f t="shared" si="4"/>
        <v>4752057</v>
      </c>
      <c r="F47" s="104">
        <v>4752057</v>
      </c>
      <c r="G47" s="87"/>
      <c r="H47" s="87"/>
      <c r="I47" s="87"/>
      <c r="J47" s="94"/>
      <c r="K47" s="87"/>
      <c r="L47" s="87"/>
      <c r="M47" s="87"/>
    </row>
    <row r="48" spans="1:13" ht="15.75">
      <c r="A48" s="87">
        <v>36</v>
      </c>
      <c r="B48" s="96" t="s">
        <v>50</v>
      </c>
      <c r="C48" s="100">
        <v>4002215013758</v>
      </c>
      <c r="D48" s="93" t="s">
        <v>123</v>
      </c>
      <c r="E48" s="94">
        <f t="shared" si="4"/>
        <v>4111953</v>
      </c>
      <c r="F48" s="104">
        <v>4111953</v>
      </c>
      <c r="G48" s="87"/>
      <c r="H48" s="87"/>
      <c r="I48" s="87"/>
      <c r="J48" s="94"/>
      <c r="K48" s="87"/>
      <c r="L48" s="87"/>
      <c r="M48" s="87"/>
    </row>
    <row r="49" spans="1:13">
      <c r="A49" s="90" t="s">
        <v>134</v>
      </c>
      <c r="B49" s="88" t="s">
        <v>135</v>
      </c>
      <c r="C49" s="107"/>
      <c r="D49" s="103"/>
      <c r="E49" s="89">
        <f>E50</f>
        <v>3508400</v>
      </c>
      <c r="F49" s="89"/>
      <c r="G49" s="89">
        <f>G50</f>
        <v>3508400</v>
      </c>
      <c r="H49" s="87"/>
      <c r="I49" s="87"/>
      <c r="J49" s="89"/>
      <c r="K49" s="87"/>
      <c r="L49" s="87"/>
      <c r="M49" s="87"/>
    </row>
    <row r="50" spans="1:13" ht="15.75">
      <c r="A50" s="87">
        <v>1</v>
      </c>
      <c r="B50" s="96" t="s">
        <v>51</v>
      </c>
      <c r="C50" s="100">
        <v>4002205034012</v>
      </c>
      <c r="D50" s="93" t="s">
        <v>123</v>
      </c>
      <c r="E50" s="108">
        <f>F50+G50+J50</f>
        <v>3508400</v>
      </c>
      <c r="F50" s="104"/>
      <c r="G50" s="104">
        <v>3508400</v>
      </c>
      <c r="H50" s="87"/>
      <c r="I50" s="87"/>
      <c r="J50" s="94"/>
      <c r="K50" s="87"/>
      <c r="L50" s="87"/>
      <c r="M50" s="87"/>
    </row>
    <row r="51" spans="1:13">
      <c r="A51" s="88" t="s">
        <v>136</v>
      </c>
      <c r="B51" s="109" t="s">
        <v>137</v>
      </c>
      <c r="C51" s="110"/>
      <c r="D51" s="87"/>
      <c r="E51" s="88">
        <v>0</v>
      </c>
      <c r="F51" s="88">
        <v>0</v>
      </c>
      <c r="G51" s="87"/>
      <c r="H51" s="87"/>
      <c r="I51" s="87"/>
      <c r="J51" s="94"/>
      <c r="K51" s="87"/>
      <c r="L51" s="87"/>
      <c r="M51" s="87"/>
    </row>
    <row r="52" spans="1:13">
      <c r="A52" s="260" t="s">
        <v>158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</row>
    <row r="53" spans="1:13" ht="15.75">
      <c r="A53" s="111" t="s">
        <v>138</v>
      </c>
      <c r="B53" s="111"/>
      <c r="C53" s="111"/>
      <c r="D53" s="111"/>
      <c r="E53" s="111"/>
      <c r="F53" s="111"/>
      <c r="G53" s="111"/>
      <c r="H53" s="82"/>
      <c r="I53" s="82"/>
      <c r="J53" s="82"/>
      <c r="K53" s="82"/>
      <c r="L53" s="82"/>
      <c r="M53" s="82"/>
    </row>
    <row r="54" spans="1:13" ht="15.75">
      <c r="A54" s="112" t="s">
        <v>150</v>
      </c>
      <c r="B54" s="112"/>
      <c r="C54" s="113">
        <f>E11</f>
        <v>298672249.78090012</v>
      </c>
      <c r="D54" s="258" t="s">
        <v>151</v>
      </c>
      <c r="E54" s="258"/>
      <c r="F54" s="258"/>
      <c r="G54" s="258"/>
      <c r="H54" s="114"/>
      <c r="I54" s="114"/>
      <c r="J54" s="114"/>
      <c r="K54" s="114"/>
      <c r="L54" s="114"/>
      <c r="M54" s="82"/>
    </row>
    <row r="55" spans="1:13" ht="15.75">
      <c r="A55" s="242" t="s">
        <v>139</v>
      </c>
      <c r="B55" s="242"/>
      <c r="C55" s="115">
        <v>0</v>
      </c>
      <c r="D55" s="116" t="s">
        <v>140</v>
      </c>
      <c r="E55" s="117"/>
      <c r="F55" s="117"/>
      <c r="G55" s="117"/>
      <c r="H55" s="117"/>
      <c r="I55" s="117"/>
      <c r="J55" s="117"/>
      <c r="K55" s="117"/>
      <c r="L55" s="117"/>
      <c r="M55" s="82"/>
    </row>
    <row r="56" spans="1:13" ht="15.75">
      <c r="A56" s="242" t="s">
        <v>141</v>
      </c>
      <c r="B56" s="242"/>
      <c r="C56" s="8">
        <f>0</f>
        <v>0</v>
      </c>
      <c r="D56" s="112" t="s">
        <v>140</v>
      </c>
      <c r="E56" s="118"/>
      <c r="F56" s="114"/>
      <c r="G56" s="114"/>
      <c r="H56" s="114"/>
      <c r="I56" s="114"/>
      <c r="J56" s="114"/>
      <c r="K56" s="114"/>
      <c r="L56" s="114"/>
      <c r="M56" s="82"/>
    </row>
    <row r="57" spans="1:13">
      <c r="A57" s="112"/>
      <c r="B57" s="112"/>
      <c r="C57" s="119"/>
      <c r="D57" s="258"/>
      <c r="E57" s="258"/>
      <c r="F57" s="258"/>
      <c r="G57" s="258"/>
      <c r="H57" s="241"/>
      <c r="I57" s="241"/>
      <c r="J57" s="241"/>
      <c r="K57" s="241"/>
      <c r="L57" s="241"/>
      <c r="M57" s="241"/>
    </row>
    <row r="58" spans="1:13">
      <c r="A58" s="116"/>
      <c r="B58" s="116"/>
      <c r="C58" s="116"/>
      <c r="D58" s="116"/>
      <c r="E58" s="115"/>
      <c r="F58" s="82"/>
      <c r="G58" s="82"/>
      <c r="H58" s="241" t="s">
        <v>156</v>
      </c>
      <c r="I58" s="241"/>
      <c r="J58" s="241"/>
      <c r="K58" s="241"/>
      <c r="L58" s="241"/>
      <c r="M58" s="241"/>
    </row>
    <row r="59" spans="1:13" ht="15.75">
      <c r="A59" s="82"/>
      <c r="B59" s="82"/>
      <c r="C59" s="239" t="s">
        <v>142</v>
      </c>
      <c r="D59" s="239"/>
      <c r="E59" s="239" t="s">
        <v>79</v>
      </c>
      <c r="F59" s="239"/>
      <c r="G59" s="239"/>
      <c r="H59" s="239" t="s">
        <v>143</v>
      </c>
      <c r="I59" s="239"/>
      <c r="J59" s="239"/>
      <c r="K59" s="239"/>
      <c r="L59" s="239"/>
      <c r="M59" s="239"/>
    </row>
    <row r="60" spans="1:13">
      <c r="A60" s="82"/>
      <c r="B60" s="82"/>
      <c r="C60" s="242" t="s">
        <v>144</v>
      </c>
      <c r="D60" s="242"/>
      <c r="E60" s="242" t="s">
        <v>145</v>
      </c>
      <c r="F60" s="242"/>
      <c r="G60" s="242"/>
      <c r="H60" s="242" t="s">
        <v>146</v>
      </c>
      <c r="I60" s="242"/>
      <c r="J60" s="242"/>
      <c r="K60" s="242"/>
      <c r="L60" s="242"/>
      <c r="M60" s="242"/>
    </row>
    <row r="61" spans="1:13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1:13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</row>
    <row r="63" spans="1:1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</row>
    <row r="64" spans="1:13" ht="15.75">
      <c r="A64" s="82"/>
      <c r="B64" s="82"/>
      <c r="C64" s="239" t="s">
        <v>59</v>
      </c>
      <c r="D64" s="239"/>
      <c r="E64" s="239" t="s">
        <v>59</v>
      </c>
      <c r="F64" s="239"/>
      <c r="G64" s="239"/>
      <c r="H64" s="239" t="s">
        <v>60</v>
      </c>
      <c r="I64" s="239"/>
      <c r="J64" s="239"/>
      <c r="K64" s="239"/>
      <c r="L64" s="239"/>
      <c r="M64" s="239"/>
    </row>
    <row r="65" spans="1:13">
      <c r="A65" s="240" t="s">
        <v>147</v>
      </c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</row>
    <row r="66" spans="1:13">
      <c r="A66" s="82"/>
      <c r="B66" s="82"/>
      <c r="C66" s="82"/>
      <c r="D66" s="82"/>
      <c r="E66" s="82"/>
      <c r="F66" s="82"/>
      <c r="G66" s="241" t="s">
        <v>157</v>
      </c>
      <c r="H66" s="241"/>
      <c r="I66" s="241"/>
      <c r="J66" s="241"/>
      <c r="K66" s="241"/>
      <c r="L66" s="241"/>
      <c r="M66" s="241"/>
    </row>
    <row r="67" spans="1:13" ht="15.75">
      <c r="A67" s="82"/>
      <c r="B67" s="240" t="s">
        <v>148</v>
      </c>
      <c r="C67" s="240"/>
      <c r="D67" s="240"/>
      <c r="E67" s="240"/>
      <c r="F67" s="240"/>
      <c r="G67" s="239" t="s">
        <v>149</v>
      </c>
      <c r="H67" s="239"/>
      <c r="I67" s="239"/>
      <c r="J67" s="239"/>
      <c r="K67" s="239"/>
      <c r="L67" s="239"/>
      <c r="M67" s="239"/>
    </row>
    <row r="70" spans="1:13" ht="18.75">
      <c r="A70" s="253" t="s">
        <v>102</v>
      </c>
      <c r="B70" s="253"/>
      <c r="C70" s="253"/>
      <c r="D70" s="253"/>
      <c r="E70" s="253"/>
      <c r="F70" s="253"/>
      <c r="G70" s="253"/>
      <c r="H70" s="253"/>
      <c r="I70" s="253"/>
      <c r="J70" s="253"/>
      <c r="K70" s="242" t="s">
        <v>103</v>
      </c>
      <c r="L70" s="242"/>
      <c r="M70" s="81"/>
    </row>
    <row r="71" spans="1:13" ht="18.75">
      <c r="A71" s="254" t="s">
        <v>167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5" t="s">
        <v>154</v>
      </c>
      <c r="L71" s="255"/>
      <c r="M71" s="82"/>
    </row>
    <row r="72" spans="1:13" ht="18.75">
      <c r="A72" s="83"/>
      <c r="B72" s="83"/>
      <c r="C72" s="254" t="s">
        <v>104</v>
      </c>
      <c r="D72" s="254"/>
      <c r="E72" s="254"/>
      <c r="F72" s="254"/>
      <c r="G72" s="254"/>
      <c r="H72" s="254"/>
      <c r="I72" s="254"/>
      <c r="J72" s="83"/>
      <c r="K72" s="83"/>
      <c r="L72" s="83"/>
      <c r="M72" s="82"/>
    </row>
    <row r="73" spans="1:13" ht="16.5">
      <c r="A73" s="256" t="s">
        <v>105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82"/>
    </row>
    <row r="74" spans="1:13" ht="16.5">
      <c r="A74" s="256" t="s">
        <v>106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82"/>
    </row>
    <row r="75" spans="1:13" ht="16.5">
      <c r="A75" s="256" t="s">
        <v>107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82"/>
    </row>
    <row r="76" spans="1:13" ht="15.75">
      <c r="A76" s="257" t="s">
        <v>174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82"/>
    </row>
    <row r="77" spans="1:13">
      <c r="A77" s="245" t="s">
        <v>0</v>
      </c>
      <c r="B77" s="247" t="s">
        <v>108</v>
      </c>
      <c r="C77" s="249" t="s">
        <v>109</v>
      </c>
      <c r="D77" s="249"/>
      <c r="E77" s="247" t="s">
        <v>110</v>
      </c>
      <c r="F77" s="250" t="s">
        <v>111</v>
      </c>
      <c r="G77" s="251"/>
      <c r="H77" s="251"/>
      <c r="I77" s="251"/>
      <c r="J77" s="251"/>
      <c r="K77" s="251"/>
      <c r="L77" s="252"/>
      <c r="M77" s="247" t="s">
        <v>57</v>
      </c>
    </row>
    <row r="78" spans="1:13" ht="42">
      <c r="A78" s="246"/>
      <c r="B78" s="248"/>
      <c r="C78" s="84" t="s">
        <v>112</v>
      </c>
      <c r="D78" s="84" t="s">
        <v>113</v>
      </c>
      <c r="E78" s="248"/>
      <c r="F78" s="84" t="s">
        <v>114</v>
      </c>
      <c r="G78" s="85" t="s">
        <v>115</v>
      </c>
      <c r="H78" s="85" t="s">
        <v>116</v>
      </c>
      <c r="I78" s="84" t="s">
        <v>117</v>
      </c>
      <c r="J78" s="84" t="s">
        <v>118</v>
      </c>
      <c r="K78" s="84" t="s">
        <v>119</v>
      </c>
      <c r="L78" s="84" t="s">
        <v>120</v>
      </c>
      <c r="M78" s="248"/>
    </row>
    <row r="79" spans="1:13">
      <c r="A79" s="86">
        <v>1</v>
      </c>
      <c r="B79" s="86">
        <v>2</v>
      </c>
      <c r="C79" s="86">
        <v>3</v>
      </c>
      <c r="D79" s="86"/>
      <c r="E79" s="86">
        <v>4</v>
      </c>
      <c r="F79" s="86">
        <v>5</v>
      </c>
      <c r="G79" s="86">
        <v>6</v>
      </c>
      <c r="H79" s="86">
        <v>7</v>
      </c>
      <c r="I79" s="86">
        <v>8</v>
      </c>
      <c r="J79" s="86">
        <v>9</v>
      </c>
      <c r="K79" s="86">
        <v>10</v>
      </c>
      <c r="L79" s="86">
        <v>11</v>
      </c>
      <c r="M79" s="86">
        <v>12</v>
      </c>
    </row>
    <row r="80" spans="1:13">
      <c r="A80" s="87"/>
      <c r="B80" s="88" t="s">
        <v>110</v>
      </c>
      <c r="C80" s="87"/>
      <c r="D80" s="87"/>
      <c r="E80" s="89">
        <f>E81+E118+E120</f>
        <v>298770664.82590008</v>
      </c>
      <c r="F80" s="89">
        <f t="shared" ref="F80:J80" si="5">F81+F118+F120</f>
        <v>295262264.82590008</v>
      </c>
      <c r="G80" s="89">
        <f t="shared" si="5"/>
        <v>3508400</v>
      </c>
      <c r="H80" s="89">
        <f t="shared" si="5"/>
        <v>0</v>
      </c>
      <c r="I80" s="89">
        <f t="shared" si="5"/>
        <v>0</v>
      </c>
      <c r="J80" s="89">
        <f t="shared" si="5"/>
        <v>0</v>
      </c>
      <c r="K80" s="87"/>
      <c r="L80" s="87"/>
      <c r="M80" s="87"/>
    </row>
    <row r="81" spans="1:13">
      <c r="A81" s="90" t="s">
        <v>121</v>
      </c>
      <c r="B81" s="88" t="s">
        <v>122</v>
      </c>
      <c r="C81" s="87"/>
      <c r="D81" s="87"/>
      <c r="E81" s="89">
        <f>SUM(E82:E117)</f>
        <v>295262264.82590008</v>
      </c>
      <c r="F81" s="89">
        <f>SUM(F82:F117)</f>
        <v>295262264.82590008</v>
      </c>
      <c r="G81" s="89">
        <f t="shared" ref="G81:J81" si="6">SUM(G82:G117)</f>
        <v>0</v>
      </c>
      <c r="H81" s="89">
        <f t="shared" si="6"/>
        <v>0</v>
      </c>
      <c r="I81" s="89">
        <f t="shared" si="6"/>
        <v>0</v>
      </c>
      <c r="J81" s="89">
        <f t="shared" si="6"/>
        <v>0</v>
      </c>
      <c r="K81" s="87"/>
      <c r="L81" s="87"/>
      <c r="M81" s="87"/>
    </row>
    <row r="82" spans="1:13" ht="15.75">
      <c r="A82" s="87">
        <v>1</v>
      </c>
      <c r="B82" s="91" t="s">
        <v>60</v>
      </c>
      <c r="C82" s="92">
        <v>4002205008058</v>
      </c>
      <c r="D82" s="93" t="s">
        <v>123</v>
      </c>
      <c r="E82" s="94">
        <f>SUM(F82:L82)</f>
        <v>11307037</v>
      </c>
      <c r="F82" s="95">
        <v>11307037</v>
      </c>
      <c r="G82" s="87"/>
      <c r="H82" s="87"/>
      <c r="I82" s="87"/>
      <c r="J82" s="94"/>
      <c r="K82" s="87"/>
      <c r="L82" s="87"/>
      <c r="M82" s="87"/>
    </row>
    <row r="83" spans="1:13" ht="15.75">
      <c r="A83" s="87">
        <v>2</v>
      </c>
      <c r="B83" s="96" t="s">
        <v>28</v>
      </c>
      <c r="C83" s="92">
        <v>4002215013939</v>
      </c>
      <c r="D83" s="93" t="s">
        <v>123</v>
      </c>
      <c r="E83" s="94">
        <f t="shared" ref="E83:E92" si="7">SUM(F83:L83)</f>
        <v>11159053</v>
      </c>
      <c r="F83" s="95">
        <v>11159053</v>
      </c>
      <c r="G83" s="87"/>
      <c r="H83" s="87"/>
      <c r="I83" s="87"/>
      <c r="J83" s="94"/>
      <c r="K83" s="87"/>
      <c r="L83" s="87"/>
      <c r="M83" s="87"/>
    </row>
    <row r="84" spans="1:13" ht="15.75">
      <c r="A84" s="87">
        <v>3</v>
      </c>
      <c r="B84" s="96" t="s">
        <v>30</v>
      </c>
      <c r="C84" s="92">
        <v>4002205008353</v>
      </c>
      <c r="D84" s="93" t="s">
        <v>123</v>
      </c>
      <c r="E84" s="94">
        <f t="shared" si="7"/>
        <v>11057511</v>
      </c>
      <c r="F84" s="95">
        <v>11057511</v>
      </c>
      <c r="G84" s="87"/>
      <c r="H84" s="87"/>
      <c r="I84" s="87"/>
      <c r="J84" s="94"/>
      <c r="K84" s="87"/>
      <c r="L84" s="87"/>
      <c r="M84" s="87"/>
    </row>
    <row r="85" spans="1:13" ht="15.75">
      <c r="A85" s="87">
        <v>4</v>
      </c>
      <c r="B85" s="96" t="s">
        <v>32</v>
      </c>
      <c r="C85" s="92">
        <v>4002205007706</v>
      </c>
      <c r="D85" s="93" t="s">
        <v>123</v>
      </c>
      <c r="E85" s="94">
        <f t="shared" si="7"/>
        <v>11331769.828500003</v>
      </c>
      <c r="F85" s="95">
        <v>11331769.828500003</v>
      </c>
      <c r="G85" s="97"/>
      <c r="H85" s="87"/>
      <c r="I85" s="87"/>
      <c r="J85" s="94"/>
      <c r="K85" s="87"/>
      <c r="L85" s="87"/>
      <c r="M85" s="87"/>
    </row>
    <row r="86" spans="1:13" ht="15.75">
      <c r="A86" s="87">
        <v>5</v>
      </c>
      <c r="B86" s="96" t="s">
        <v>124</v>
      </c>
      <c r="C86" s="92">
        <v>4002205007577</v>
      </c>
      <c r="D86" s="93" t="s">
        <v>123</v>
      </c>
      <c r="E86" s="94">
        <f t="shared" si="7"/>
        <v>11654903.312400002</v>
      </c>
      <c r="F86" s="95">
        <v>11654903.312400002</v>
      </c>
      <c r="G86" s="87"/>
      <c r="H86" s="87"/>
      <c r="I86" s="87"/>
      <c r="J86" s="94"/>
      <c r="K86" s="87"/>
      <c r="L86" s="87"/>
      <c r="M86" s="87"/>
    </row>
    <row r="87" spans="1:13" ht="15.75">
      <c r="A87" s="87">
        <v>6</v>
      </c>
      <c r="B87" s="96" t="s">
        <v>84</v>
      </c>
      <c r="C87" s="92">
        <v>4002205099727</v>
      </c>
      <c r="D87" s="93" t="s">
        <v>123</v>
      </c>
      <c r="E87" s="94">
        <f t="shared" si="7"/>
        <v>10096917.949999999</v>
      </c>
      <c r="F87" s="95">
        <v>10096917.949999999</v>
      </c>
      <c r="G87" s="87"/>
      <c r="H87" s="87"/>
      <c r="I87" s="87"/>
      <c r="J87" s="94"/>
      <c r="K87" s="87"/>
      <c r="L87" s="87"/>
      <c r="M87" s="87"/>
    </row>
    <row r="88" spans="1:13" ht="15.75">
      <c r="A88" s="87">
        <v>7</v>
      </c>
      <c r="B88" s="96" t="s">
        <v>31</v>
      </c>
      <c r="C88" s="98">
        <v>4002215005454</v>
      </c>
      <c r="D88" s="93" t="s">
        <v>123</v>
      </c>
      <c r="E88" s="94">
        <f t="shared" si="7"/>
        <v>10402364.970000001</v>
      </c>
      <c r="F88" s="95">
        <v>10402364.970000001</v>
      </c>
      <c r="G88" s="87"/>
      <c r="H88" s="87"/>
      <c r="I88" s="87"/>
      <c r="J88" s="94"/>
      <c r="K88" s="87"/>
      <c r="L88" s="87"/>
      <c r="M88" s="87"/>
    </row>
    <row r="89" spans="1:13" ht="15.75">
      <c r="A89" s="87">
        <v>8</v>
      </c>
      <c r="B89" s="96" t="s">
        <v>125</v>
      </c>
      <c r="C89" s="92">
        <v>4002215005369</v>
      </c>
      <c r="D89" s="93" t="s">
        <v>123</v>
      </c>
      <c r="E89" s="94">
        <f t="shared" si="7"/>
        <v>9643779</v>
      </c>
      <c r="F89" s="95">
        <v>9643779</v>
      </c>
      <c r="G89" s="87"/>
      <c r="H89" s="87"/>
      <c r="I89" s="87"/>
      <c r="J89" s="94"/>
      <c r="K89" s="87"/>
      <c r="L89" s="87"/>
      <c r="M89" s="87"/>
    </row>
    <row r="90" spans="1:13" ht="15.75">
      <c r="A90" s="87">
        <v>9</v>
      </c>
      <c r="B90" s="96" t="s">
        <v>33</v>
      </c>
      <c r="C90" s="98">
        <v>4002215013980</v>
      </c>
      <c r="D90" s="93" t="s">
        <v>123</v>
      </c>
      <c r="E90" s="94">
        <f t="shared" si="7"/>
        <v>9993888.1750000007</v>
      </c>
      <c r="F90" s="95">
        <v>9993888.1750000007</v>
      </c>
      <c r="G90" s="97"/>
      <c r="H90" s="87"/>
      <c r="I90" s="87"/>
      <c r="J90" s="94"/>
      <c r="K90" s="87"/>
      <c r="L90" s="87"/>
      <c r="M90" s="87"/>
    </row>
    <row r="91" spans="1:13" ht="15.75">
      <c r="A91" s="87">
        <v>10</v>
      </c>
      <c r="B91" s="96" t="s">
        <v>34</v>
      </c>
      <c r="C91" s="92">
        <v>4002215014006</v>
      </c>
      <c r="D91" s="93" t="s">
        <v>123</v>
      </c>
      <c r="E91" s="94">
        <f t="shared" si="7"/>
        <v>8728944</v>
      </c>
      <c r="F91" s="95">
        <v>8728944</v>
      </c>
      <c r="G91" s="87"/>
      <c r="H91" s="87"/>
      <c r="I91" s="87"/>
      <c r="J91" s="94"/>
      <c r="K91" s="87"/>
      <c r="L91" s="87"/>
      <c r="M91" s="87"/>
    </row>
    <row r="92" spans="1:13" ht="15.75">
      <c r="A92" s="87">
        <v>11</v>
      </c>
      <c r="B92" s="99" t="s">
        <v>36</v>
      </c>
      <c r="C92" s="98">
        <v>4002215020718</v>
      </c>
      <c r="D92" s="93" t="s">
        <v>123</v>
      </c>
      <c r="E92" s="94">
        <f t="shared" si="7"/>
        <v>9193338.7400000021</v>
      </c>
      <c r="F92" s="95">
        <v>9193338.7400000021</v>
      </c>
      <c r="G92" s="87"/>
      <c r="H92" s="87"/>
      <c r="I92" s="87"/>
      <c r="J92" s="94"/>
      <c r="K92" s="87"/>
      <c r="L92" s="87"/>
      <c r="M92" s="87"/>
    </row>
    <row r="93" spans="1:13" ht="15.75">
      <c r="A93" s="87">
        <v>12</v>
      </c>
      <c r="B93" s="96" t="s">
        <v>59</v>
      </c>
      <c r="C93" s="92">
        <v>4002215018587</v>
      </c>
      <c r="D93" s="93" t="s">
        <v>123</v>
      </c>
      <c r="E93" s="94">
        <f>SUM(F93:L93)</f>
        <v>6109968.4999999991</v>
      </c>
      <c r="F93" s="95">
        <v>6109968.4999999991</v>
      </c>
      <c r="G93" s="97"/>
      <c r="H93" s="87"/>
      <c r="I93" s="87"/>
      <c r="J93" s="94"/>
      <c r="K93" s="87"/>
      <c r="L93" s="87"/>
      <c r="M93" s="87"/>
    </row>
    <row r="94" spans="1:13" ht="15.75">
      <c r="A94" s="87">
        <v>13</v>
      </c>
      <c r="B94" s="96" t="s">
        <v>126</v>
      </c>
      <c r="C94" s="98">
        <v>4002215013945</v>
      </c>
      <c r="D94" s="93" t="s">
        <v>123</v>
      </c>
      <c r="E94" s="94">
        <f t="shared" ref="E94:E98" si="8">SUM(F94:L94)</f>
        <v>8786553.8400000017</v>
      </c>
      <c r="F94" s="95">
        <v>8786553.8400000017</v>
      </c>
      <c r="G94" s="87"/>
      <c r="H94" s="87"/>
      <c r="I94" s="87"/>
      <c r="J94" s="94"/>
      <c r="K94" s="87"/>
      <c r="L94" s="87"/>
      <c r="M94" s="87"/>
    </row>
    <row r="95" spans="1:13" ht="15.75">
      <c r="A95" s="87">
        <v>14</v>
      </c>
      <c r="B95" s="96" t="s">
        <v>37</v>
      </c>
      <c r="C95" s="98">
        <v>4002205015211</v>
      </c>
      <c r="D95" s="93" t="s">
        <v>123</v>
      </c>
      <c r="E95" s="94">
        <f t="shared" si="8"/>
        <v>8786553.8400000017</v>
      </c>
      <c r="F95" s="95">
        <v>8786553.8400000017</v>
      </c>
      <c r="G95" s="87"/>
      <c r="H95" s="87"/>
      <c r="I95" s="87"/>
      <c r="J95" s="94"/>
      <c r="K95" s="87"/>
      <c r="L95" s="87"/>
      <c r="M95" s="87"/>
    </row>
    <row r="96" spans="1:13" ht="15.75">
      <c r="A96" s="87">
        <v>15</v>
      </c>
      <c r="B96" s="96" t="s">
        <v>127</v>
      </c>
      <c r="C96" s="92">
        <v>4002215013793</v>
      </c>
      <c r="D96" s="93" t="s">
        <v>123</v>
      </c>
      <c r="E96" s="94">
        <f t="shared" si="8"/>
        <v>8786553.8400000017</v>
      </c>
      <c r="F96" s="95">
        <v>8786553.8400000017</v>
      </c>
      <c r="G96" s="87"/>
      <c r="H96" s="87"/>
      <c r="I96" s="87"/>
      <c r="J96" s="94"/>
      <c r="K96" s="87"/>
      <c r="L96" s="87"/>
      <c r="M96" s="87"/>
    </row>
    <row r="97" spans="1:13" ht="15.75">
      <c r="A97" s="87">
        <v>16</v>
      </c>
      <c r="B97" s="96" t="s">
        <v>38</v>
      </c>
      <c r="C97" s="98">
        <v>4002215013895</v>
      </c>
      <c r="D97" s="93" t="s">
        <v>123</v>
      </c>
      <c r="E97" s="94">
        <f t="shared" si="8"/>
        <v>8671335.1199999992</v>
      </c>
      <c r="F97" s="95">
        <v>8671335.1199999992</v>
      </c>
      <c r="G97" s="87"/>
      <c r="H97" s="87"/>
      <c r="I97" s="87"/>
      <c r="J97" s="94"/>
      <c r="K97" s="87"/>
      <c r="L97" s="87"/>
      <c r="M97" s="87"/>
    </row>
    <row r="98" spans="1:13" ht="15.75">
      <c r="A98" s="87">
        <v>17</v>
      </c>
      <c r="B98" s="96" t="s">
        <v>128</v>
      </c>
      <c r="C98" s="98">
        <v>4002215005483</v>
      </c>
      <c r="D98" s="93" t="s">
        <v>123</v>
      </c>
      <c r="E98" s="94">
        <f t="shared" si="8"/>
        <v>8671335</v>
      </c>
      <c r="F98" s="95">
        <v>8671335</v>
      </c>
      <c r="G98" s="87"/>
      <c r="H98" s="87"/>
      <c r="I98" s="87"/>
      <c r="J98" s="94"/>
      <c r="K98" s="87"/>
      <c r="L98" s="87"/>
      <c r="M98" s="87"/>
    </row>
    <row r="99" spans="1:13" ht="15.75">
      <c r="A99" s="87">
        <v>18</v>
      </c>
      <c r="B99" s="96" t="s">
        <v>91</v>
      </c>
      <c r="C99" s="100">
        <v>4001205046288</v>
      </c>
      <c r="D99" s="93" t="s">
        <v>129</v>
      </c>
      <c r="E99" s="94">
        <f>SUM(F99:L99)</f>
        <v>9032032.8300000001</v>
      </c>
      <c r="F99" s="101">
        <v>9032032.8300000001</v>
      </c>
      <c r="G99" s="87"/>
      <c r="H99" s="87"/>
      <c r="I99" s="87"/>
      <c r="J99" s="94"/>
      <c r="K99" s="87"/>
      <c r="L99" s="87"/>
      <c r="M99" s="87"/>
    </row>
    <row r="100" spans="1:13" ht="15.75">
      <c r="A100" s="87">
        <v>19</v>
      </c>
      <c r="B100" s="99" t="s">
        <v>39</v>
      </c>
      <c r="C100" s="98">
        <v>4002205007627</v>
      </c>
      <c r="D100" s="93" t="s">
        <v>123</v>
      </c>
      <c r="E100" s="94">
        <f t="shared" ref="E100:E117" si="9">SUM(F100:L100)</f>
        <v>8901772.5600000005</v>
      </c>
      <c r="F100" s="95">
        <v>8901772.5600000005</v>
      </c>
      <c r="G100" s="87"/>
      <c r="H100" s="87"/>
      <c r="I100" s="87"/>
      <c r="J100" s="94"/>
      <c r="K100" s="87"/>
      <c r="L100" s="87"/>
      <c r="M100" s="87"/>
    </row>
    <row r="101" spans="1:13" ht="15.75">
      <c r="A101" s="87">
        <v>20</v>
      </c>
      <c r="B101" s="96" t="s">
        <v>40</v>
      </c>
      <c r="C101" s="98">
        <v>4002205008006</v>
      </c>
      <c r="D101" s="93" t="s">
        <v>123</v>
      </c>
      <c r="E101" s="94">
        <f t="shared" si="9"/>
        <v>8249812</v>
      </c>
      <c r="F101" s="94">
        <v>8249812</v>
      </c>
      <c r="G101" s="87"/>
      <c r="H101" s="87"/>
      <c r="I101" s="87"/>
      <c r="J101" s="94"/>
      <c r="K101" s="87"/>
      <c r="L101" s="87"/>
      <c r="M101" s="87"/>
    </row>
    <row r="102" spans="1:13" ht="15.75">
      <c r="A102" s="87">
        <v>21</v>
      </c>
      <c r="B102" s="96" t="s">
        <v>130</v>
      </c>
      <c r="C102" s="102">
        <v>4002215013808</v>
      </c>
      <c r="D102" s="93" t="s">
        <v>123</v>
      </c>
      <c r="E102" s="94">
        <f t="shared" si="9"/>
        <v>8008941.4649999999</v>
      </c>
      <c r="F102" s="95">
        <v>8008941.4649999999</v>
      </c>
      <c r="G102" s="87"/>
      <c r="H102" s="87"/>
      <c r="I102" s="87"/>
      <c r="J102" s="94"/>
      <c r="K102" s="87"/>
      <c r="L102" s="87"/>
      <c r="M102" s="87"/>
    </row>
    <row r="103" spans="1:13" ht="15.75">
      <c r="A103" s="87">
        <v>22</v>
      </c>
      <c r="B103" s="99" t="s">
        <v>41</v>
      </c>
      <c r="C103" s="98">
        <v>4002215005490</v>
      </c>
      <c r="D103" s="93" t="s">
        <v>123</v>
      </c>
      <c r="E103" s="94">
        <f t="shared" si="9"/>
        <v>7955732.8200000003</v>
      </c>
      <c r="F103" s="95">
        <v>7955732.8200000003</v>
      </c>
      <c r="G103" s="97"/>
      <c r="H103" s="87"/>
      <c r="I103" s="87"/>
      <c r="J103" s="94"/>
      <c r="K103" s="87"/>
      <c r="L103" s="87"/>
      <c r="M103" s="87"/>
    </row>
    <row r="104" spans="1:13" ht="15.75">
      <c r="A104" s="87">
        <v>23</v>
      </c>
      <c r="B104" s="99" t="s">
        <v>42</v>
      </c>
      <c r="C104" s="98">
        <v>4002215005425</v>
      </c>
      <c r="D104" s="93" t="s">
        <v>123</v>
      </c>
      <c r="E104" s="94">
        <f t="shared" si="9"/>
        <v>8157941.4649999999</v>
      </c>
      <c r="F104" s="95">
        <v>8157941.4649999999</v>
      </c>
      <c r="G104" s="87"/>
      <c r="H104" s="87"/>
      <c r="I104" s="87"/>
      <c r="J104" s="94"/>
      <c r="K104" s="87"/>
      <c r="L104" s="87"/>
      <c r="M104" s="87"/>
    </row>
    <row r="105" spans="1:13">
      <c r="A105" s="87">
        <v>24</v>
      </c>
      <c r="B105" s="103" t="s">
        <v>131</v>
      </c>
      <c r="C105" s="92">
        <v>4002215005280</v>
      </c>
      <c r="D105" s="93" t="s">
        <v>123</v>
      </c>
      <c r="E105" s="94">
        <f t="shared" si="9"/>
        <v>7902524.1749999998</v>
      </c>
      <c r="F105" s="95">
        <v>7902524.1749999998</v>
      </c>
      <c r="G105" s="87"/>
      <c r="H105" s="87"/>
      <c r="I105" s="87"/>
      <c r="J105" s="94"/>
      <c r="K105" s="87"/>
      <c r="L105" s="87"/>
      <c r="M105" s="87"/>
    </row>
    <row r="106" spans="1:13" ht="15.75">
      <c r="A106" s="87">
        <v>25</v>
      </c>
      <c r="B106" s="96" t="s">
        <v>43</v>
      </c>
      <c r="C106" s="92">
        <v>4002215024731</v>
      </c>
      <c r="D106" s="93" t="s">
        <v>123</v>
      </c>
      <c r="E106" s="94">
        <f t="shared" si="9"/>
        <v>7902524.1749999998</v>
      </c>
      <c r="F106" s="95">
        <v>7902524.1749999998</v>
      </c>
      <c r="G106" s="87"/>
      <c r="H106" s="87"/>
      <c r="I106" s="87"/>
      <c r="J106" s="94"/>
      <c r="K106" s="87"/>
      <c r="L106" s="87"/>
      <c r="M106" s="87"/>
    </row>
    <row r="107" spans="1:13" ht="15.75">
      <c r="A107" s="87">
        <v>26</v>
      </c>
      <c r="B107" s="96" t="s">
        <v>58</v>
      </c>
      <c r="C107" s="98">
        <v>4002205100941</v>
      </c>
      <c r="D107" s="93" t="s">
        <v>123</v>
      </c>
      <c r="E107" s="94">
        <f t="shared" si="9"/>
        <v>6417710.8649999993</v>
      </c>
      <c r="F107" s="95">
        <v>6417710.8649999993</v>
      </c>
      <c r="G107" s="87"/>
      <c r="H107" s="87"/>
      <c r="I107" s="87"/>
      <c r="J107" s="94"/>
      <c r="K107" s="87"/>
      <c r="L107" s="87"/>
      <c r="M107" s="87"/>
    </row>
    <row r="108" spans="1:13" ht="15.75">
      <c r="A108" s="87">
        <v>27</v>
      </c>
      <c r="B108" s="96" t="s">
        <v>44</v>
      </c>
      <c r="C108" s="92">
        <v>4002205008330</v>
      </c>
      <c r="D108" s="93" t="s">
        <v>123</v>
      </c>
      <c r="E108" s="94">
        <f t="shared" si="9"/>
        <v>7849315.5300000003</v>
      </c>
      <c r="F108" s="95">
        <v>7849315.5300000003</v>
      </c>
      <c r="G108" s="97"/>
      <c r="H108" s="87"/>
      <c r="I108" s="87"/>
      <c r="J108" s="94"/>
      <c r="K108" s="87"/>
      <c r="L108" s="87"/>
      <c r="M108" s="87"/>
    </row>
    <row r="109" spans="1:13">
      <c r="A109" s="87">
        <v>28</v>
      </c>
      <c r="B109" s="103" t="s">
        <v>132</v>
      </c>
      <c r="C109" s="100">
        <v>4002215005323</v>
      </c>
      <c r="D109" s="93" t="s">
        <v>123</v>
      </c>
      <c r="E109" s="94">
        <f t="shared" si="9"/>
        <v>0</v>
      </c>
      <c r="F109" s="104">
        <v>0</v>
      </c>
      <c r="G109" s="87"/>
      <c r="H109" s="87"/>
      <c r="I109" s="87"/>
      <c r="J109" s="94"/>
      <c r="K109" s="87"/>
      <c r="L109" s="87"/>
      <c r="M109" s="120" t="s">
        <v>152</v>
      </c>
    </row>
    <row r="110" spans="1:13" ht="15.75">
      <c r="A110" s="87">
        <v>29</v>
      </c>
      <c r="B110" s="99" t="s">
        <v>46</v>
      </c>
      <c r="C110" s="105">
        <v>4002215005510</v>
      </c>
      <c r="D110" s="93" t="s">
        <v>123</v>
      </c>
      <c r="E110" s="94">
        <f t="shared" si="9"/>
        <v>7815646</v>
      </c>
      <c r="F110" s="104">
        <v>7815646</v>
      </c>
      <c r="G110" s="87"/>
      <c r="H110" s="87"/>
      <c r="I110" s="87"/>
      <c r="J110" s="94"/>
      <c r="K110" s="87"/>
      <c r="L110" s="87"/>
      <c r="M110" s="87"/>
    </row>
    <row r="111" spans="1:13" ht="15.75">
      <c r="A111" s="87">
        <v>30</v>
      </c>
      <c r="B111" s="96" t="s">
        <v>47</v>
      </c>
      <c r="C111" s="98">
        <v>4002215013889</v>
      </c>
      <c r="D111" s="93" t="s">
        <v>123</v>
      </c>
      <c r="E111" s="94">
        <f t="shared" si="9"/>
        <v>7902524.1749999998</v>
      </c>
      <c r="F111" s="104">
        <v>7902524.1749999998</v>
      </c>
      <c r="G111" s="87"/>
      <c r="H111" s="87"/>
      <c r="I111" s="87"/>
      <c r="J111" s="94"/>
      <c r="K111" s="87"/>
      <c r="L111" s="87"/>
      <c r="M111" s="87"/>
    </row>
    <row r="112" spans="1:13" ht="15.75">
      <c r="A112" s="87">
        <v>31</v>
      </c>
      <c r="B112" s="96" t="s">
        <v>48</v>
      </c>
      <c r="C112" s="92">
        <v>4002215005346</v>
      </c>
      <c r="D112" s="93" t="s">
        <v>123</v>
      </c>
      <c r="E112" s="94">
        <f t="shared" si="9"/>
        <v>7151316</v>
      </c>
      <c r="F112" s="104">
        <v>7151316</v>
      </c>
      <c r="G112" s="87"/>
      <c r="H112" s="87"/>
      <c r="I112" s="87"/>
      <c r="J112" s="94"/>
      <c r="K112" s="87"/>
      <c r="L112" s="87"/>
      <c r="M112" s="87"/>
    </row>
    <row r="113" spans="1:17" ht="15.75">
      <c r="A113" s="87">
        <v>32</v>
      </c>
      <c r="B113" s="96" t="s">
        <v>92</v>
      </c>
      <c r="C113" s="98">
        <v>4002215021438</v>
      </c>
      <c r="D113" s="93" t="s">
        <v>123</v>
      </c>
      <c r="E113" s="94">
        <f t="shared" si="9"/>
        <v>6373303.6500000004</v>
      </c>
      <c r="F113" s="104">
        <v>6373303.6500000004</v>
      </c>
      <c r="G113" s="87"/>
      <c r="H113" s="87"/>
      <c r="I113" s="87"/>
      <c r="J113" s="94"/>
      <c r="K113" s="87"/>
      <c r="L113" s="87"/>
      <c r="M113" s="87"/>
    </row>
    <row r="114" spans="1:17" ht="15.75">
      <c r="A114" s="87">
        <v>33</v>
      </c>
      <c r="B114" s="96" t="s">
        <v>93</v>
      </c>
      <c r="C114" s="98">
        <v>4002205007265</v>
      </c>
      <c r="D114" s="93" t="s">
        <v>123</v>
      </c>
      <c r="E114" s="94">
        <f t="shared" si="9"/>
        <v>7053700</v>
      </c>
      <c r="F114" s="104">
        <v>7053700</v>
      </c>
      <c r="G114" s="87"/>
      <c r="H114" s="87"/>
      <c r="I114" s="87"/>
      <c r="J114" s="94"/>
      <c r="K114" s="87"/>
      <c r="L114" s="87"/>
      <c r="M114" s="87"/>
    </row>
    <row r="115" spans="1:17" ht="18" customHeight="1">
      <c r="A115" s="87">
        <v>34</v>
      </c>
      <c r="B115" s="96" t="s">
        <v>95</v>
      </c>
      <c r="C115" s="100">
        <v>4009205061263</v>
      </c>
      <c r="D115" s="106" t="s">
        <v>133</v>
      </c>
      <c r="E115" s="104">
        <f t="shared" si="9"/>
        <v>5341650</v>
      </c>
      <c r="F115" s="104">
        <v>5341650</v>
      </c>
      <c r="G115" s="87"/>
      <c r="H115" s="87"/>
      <c r="I115" s="87"/>
      <c r="J115" s="94"/>
      <c r="K115" s="87"/>
      <c r="L115" s="87"/>
      <c r="M115" s="87"/>
    </row>
    <row r="116" spans="1:17" ht="15.75">
      <c r="A116" s="87">
        <v>35</v>
      </c>
      <c r="B116" s="96" t="s">
        <v>49</v>
      </c>
      <c r="C116" s="100">
        <v>4002215005330</v>
      </c>
      <c r="D116" s="93" t="s">
        <v>123</v>
      </c>
      <c r="E116" s="94">
        <f t="shared" si="9"/>
        <v>4752057</v>
      </c>
      <c r="F116" s="104">
        <v>4752057</v>
      </c>
      <c r="G116" s="87"/>
      <c r="H116" s="87"/>
      <c r="I116" s="87"/>
      <c r="J116" s="94"/>
      <c r="K116" s="87"/>
      <c r="L116" s="87"/>
      <c r="M116" s="87"/>
    </row>
    <row r="117" spans="1:17" ht="15.75">
      <c r="A117" s="87">
        <v>36</v>
      </c>
      <c r="B117" s="96" t="s">
        <v>50</v>
      </c>
      <c r="C117" s="100">
        <v>4002215013758</v>
      </c>
      <c r="D117" s="93" t="s">
        <v>123</v>
      </c>
      <c r="E117" s="94">
        <f t="shared" si="9"/>
        <v>4111953</v>
      </c>
      <c r="F117" s="104">
        <v>4111953</v>
      </c>
      <c r="G117" s="87"/>
      <c r="H117" s="87"/>
      <c r="I117" s="87"/>
      <c r="J117" s="94"/>
      <c r="K117" s="87"/>
      <c r="L117" s="87"/>
      <c r="M117" s="87"/>
    </row>
    <row r="118" spans="1:17">
      <c r="A118" s="90" t="s">
        <v>134</v>
      </c>
      <c r="B118" s="88" t="s">
        <v>135</v>
      </c>
      <c r="C118" s="107"/>
      <c r="D118" s="103"/>
      <c r="E118" s="89">
        <f>E119</f>
        <v>3508400</v>
      </c>
      <c r="F118" s="89"/>
      <c r="G118" s="89">
        <f>G119</f>
        <v>3508400</v>
      </c>
      <c r="H118" s="87"/>
      <c r="I118" s="87"/>
      <c r="J118" s="89"/>
      <c r="K118" s="87"/>
      <c r="L118" s="87"/>
      <c r="M118" s="87"/>
    </row>
    <row r="119" spans="1:17" ht="15.75">
      <c r="A119" s="87">
        <v>1</v>
      </c>
      <c r="B119" s="96" t="s">
        <v>51</v>
      </c>
      <c r="C119" s="100">
        <v>4002205034012</v>
      </c>
      <c r="D119" s="93" t="s">
        <v>123</v>
      </c>
      <c r="E119" s="108">
        <f>F119+G119+J119</f>
        <v>3508400</v>
      </c>
      <c r="F119" s="104"/>
      <c r="G119" s="104">
        <v>3508400</v>
      </c>
      <c r="H119" s="87"/>
      <c r="I119" s="87"/>
      <c r="J119" s="94"/>
      <c r="K119" s="87"/>
      <c r="L119" s="87"/>
      <c r="M119" s="87"/>
    </row>
    <row r="120" spans="1:17">
      <c r="A120" s="88" t="s">
        <v>136</v>
      </c>
      <c r="B120" s="109" t="s">
        <v>137</v>
      </c>
      <c r="C120" s="110"/>
      <c r="D120" s="87"/>
      <c r="E120" s="88">
        <v>0</v>
      </c>
      <c r="F120" s="88">
        <v>0</v>
      </c>
      <c r="G120" s="87"/>
      <c r="H120" s="87"/>
      <c r="I120" s="87"/>
      <c r="J120" s="94"/>
      <c r="K120" s="87"/>
      <c r="L120" s="87"/>
      <c r="M120" s="87"/>
    </row>
    <row r="121" spans="1:17">
      <c r="A121" s="260" t="s">
        <v>175</v>
      </c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</row>
    <row r="122" spans="1:17" ht="15.75">
      <c r="A122" s="111" t="s">
        <v>138</v>
      </c>
      <c r="B122" s="111"/>
      <c r="C122" s="111"/>
      <c r="D122" s="111"/>
      <c r="E122" s="111"/>
      <c r="F122" s="111"/>
      <c r="G122" s="111"/>
      <c r="H122" s="82"/>
      <c r="I122" s="82"/>
      <c r="J122" s="82"/>
      <c r="K122" s="82"/>
      <c r="L122" s="82"/>
      <c r="M122" s="82"/>
    </row>
    <row r="123" spans="1:17" ht="15.75">
      <c r="A123" s="112" t="s">
        <v>168</v>
      </c>
      <c r="B123" s="112"/>
      <c r="C123" s="113">
        <f>C54</f>
        <v>298672249.78090012</v>
      </c>
      <c r="D123" s="258" t="s">
        <v>170</v>
      </c>
      <c r="E123" s="258"/>
      <c r="F123" s="258"/>
      <c r="G123" s="258"/>
      <c r="H123" s="114"/>
      <c r="I123" s="114"/>
      <c r="J123" s="114"/>
      <c r="K123" s="114"/>
      <c r="L123" s="114"/>
      <c r="M123" s="82"/>
      <c r="Q123" s="8">
        <f>F99-F30</f>
        <v>0</v>
      </c>
    </row>
    <row r="124" spans="1:17" ht="15.75">
      <c r="A124" s="242" t="s">
        <v>139</v>
      </c>
      <c r="B124" s="242"/>
      <c r="C124" s="115">
        <v>98416</v>
      </c>
      <c r="D124" s="243" t="s">
        <v>172</v>
      </c>
      <c r="E124" s="243"/>
      <c r="F124" s="243"/>
      <c r="G124" s="117"/>
      <c r="H124" s="117"/>
      <c r="I124" s="117"/>
      <c r="J124" s="117"/>
      <c r="K124" s="117"/>
      <c r="L124" s="117"/>
      <c r="M124" s="82"/>
    </row>
    <row r="125" spans="1:17" ht="15.75">
      <c r="A125" s="242" t="s">
        <v>141</v>
      </c>
      <c r="B125" s="242"/>
      <c r="C125" s="8">
        <f>0</f>
        <v>0</v>
      </c>
      <c r="D125" s="112" t="s">
        <v>140</v>
      </c>
      <c r="E125" s="118"/>
      <c r="F125" s="114"/>
      <c r="G125" s="114"/>
      <c r="H125" s="114"/>
      <c r="I125" s="114"/>
      <c r="J125" s="114"/>
      <c r="K125" s="114"/>
      <c r="L125" s="114"/>
      <c r="M125" s="82"/>
    </row>
    <row r="126" spans="1:17">
      <c r="A126" s="112" t="s">
        <v>169</v>
      </c>
      <c r="B126" s="112"/>
      <c r="C126" s="119">
        <f>C123+C124-C125</f>
        <v>298770665.78090012</v>
      </c>
      <c r="D126" s="258" t="s">
        <v>171</v>
      </c>
      <c r="E126" s="258"/>
      <c r="F126" s="258"/>
      <c r="G126" s="258"/>
      <c r="H126" s="241"/>
      <c r="I126" s="241"/>
      <c r="J126" s="241"/>
      <c r="K126" s="241"/>
      <c r="L126" s="241"/>
      <c r="M126" s="241"/>
    </row>
    <row r="127" spans="1:17">
      <c r="A127" s="116"/>
      <c r="B127" s="116"/>
      <c r="C127" s="116"/>
      <c r="D127" s="116"/>
      <c r="E127" s="115"/>
      <c r="F127" s="82"/>
      <c r="G127" s="82"/>
      <c r="H127" s="241" t="s">
        <v>173</v>
      </c>
      <c r="I127" s="241"/>
      <c r="J127" s="241"/>
      <c r="K127" s="241"/>
      <c r="L127" s="241"/>
      <c r="M127" s="241"/>
    </row>
    <row r="128" spans="1:17" ht="15.75">
      <c r="A128" s="82"/>
      <c r="B128" s="82"/>
      <c r="C128" s="239" t="s">
        <v>142</v>
      </c>
      <c r="D128" s="239"/>
      <c r="E128" s="239" t="s">
        <v>79</v>
      </c>
      <c r="F128" s="239"/>
      <c r="G128" s="239"/>
      <c r="H128" s="239" t="s">
        <v>143</v>
      </c>
      <c r="I128" s="239"/>
      <c r="J128" s="239"/>
      <c r="K128" s="239"/>
      <c r="L128" s="239"/>
      <c r="M128" s="239"/>
    </row>
    <row r="129" spans="1:13">
      <c r="A129" s="82"/>
      <c r="B129" s="82"/>
      <c r="C129" s="242" t="s">
        <v>144</v>
      </c>
      <c r="D129" s="242"/>
      <c r="E129" s="242" t="s">
        <v>145</v>
      </c>
      <c r="F129" s="242"/>
      <c r="G129" s="242"/>
      <c r="H129" s="242" t="s">
        <v>146</v>
      </c>
      <c r="I129" s="242"/>
      <c r="J129" s="242"/>
      <c r="K129" s="242"/>
      <c r="L129" s="242"/>
      <c r="M129" s="242"/>
    </row>
    <row r="130" spans="1:13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</row>
    <row r="131" spans="1:13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</row>
    <row r="132" spans="1:1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</row>
    <row r="133" spans="1:13" ht="15.75">
      <c r="A133" s="82"/>
      <c r="B133" s="82"/>
      <c r="C133" s="239" t="s">
        <v>59</v>
      </c>
      <c r="D133" s="239"/>
      <c r="E133" s="239" t="s">
        <v>59</v>
      </c>
      <c r="F133" s="239"/>
      <c r="G133" s="239"/>
      <c r="H133" s="239" t="s">
        <v>60</v>
      </c>
      <c r="I133" s="239"/>
      <c r="J133" s="239"/>
      <c r="K133" s="239"/>
      <c r="L133" s="239"/>
      <c r="M133" s="239"/>
    </row>
    <row r="134" spans="1:13">
      <c r="A134" s="240" t="s">
        <v>147</v>
      </c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</row>
    <row r="135" spans="1:13">
      <c r="A135" s="82"/>
      <c r="B135" s="82"/>
      <c r="C135" s="82"/>
      <c r="D135" s="82"/>
      <c r="E135" s="82"/>
      <c r="F135" s="82"/>
      <c r="G135" s="241" t="s">
        <v>157</v>
      </c>
      <c r="H135" s="241"/>
      <c r="I135" s="241"/>
      <c r="J135" s="241"/>
      <c r="K135" s="241"/>
      <c r="L135" s="241"/>
      <c r="M135" s="241"/>
    </row>
    <row r="136" spans="1:13" ht="15.75">
      <c r="A136" s="82"/>
      <c r="B136" s="240" t="s">
        <v>148</v>
      </c>
      <c r="C136" s="240"/>
      <c r="D136" s="240"/>
      <c r="E136" s="240"/>
      <c r="F136" s="240"/>
      <c r="G136" s="239" t="s">
        <v>149</v>
      </c>
      <c r="H136" s="239"/>
      <c r="I136" s="239"/>
      <c r="J136" s="239"/>
      <c r="K136" s="239"/>
      <c r="L136" s="239"/>
      <c r="M136" s="239"/>
    </row>
    <row r="140" spans="1:13" ht="18.75">
      <c r="A140" s="253" t="s">
        <v>102</v>
      </c>
      <c r="B140" s="253"/>
      <c r="C140" s="253"/>
      <c r="D140" s="253"/>
      <c r="E140" s="253"/>
      <c r="F140" s="253"/>
      <c r="G140" s="253"/>
      <c r="H140" s="253"/>
      <c r="I140" s="253"/>
      <c r="J140" s="253"/>
      <c r="K140" s="242" t="s">
        <v>103</v>
      </c>
      <c r="L140" s="242"/>
      <c r="M140" s="81"/>
    </row>
    <row r="141" spans="1:13" ht="18.75">
      <c r="A141" s="254" t="s">
        <v>179</v>
      </c>
      <c r="B141" s="254"/>
      <c r="C141" s="254"/>
      <c r="D141" s="254"/>
      <c r="E141" s="254"/>
      <c r="F141" s="254"/>
      <c r="G141" s="254"/>
      <c r="H141" s="254"/>
      <c r="I141" s="254"/>
      <c r="J141" s="254"/>
      <c r="K141" s="255" t="s">
        <v>154</v>
      </c>
      <c r="L141" s="255"/>
      <c r="M141" s="82"/>
    </row>
    <row r="142" spans="1:13" ht="18.75">
      <c r="A142" s="122"/>
      <c r="B142" s="122"/>
      <c r="C142" s="254" t="s">
        <v>104</v>
      </c>
      <c r="D142" s="254"/>
      <c r="E142" s="254"/>
      <c r="F142" s="254"/>
      <c r="G142" s="254"/>
      <c r="H142" s="254"/>
      <c r="I142" s="254"/>
      <c r="J142" s="122"/>
      <c r="K142" s="122"/>
      <c r="L142" s="122"/>
      <c r="M142" s="82"/>
    </row>
    <row r="143" spans="1:13" ht="16.5">
      <c r="A143" s="256" t="s">
        <v>105</v>
      </c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82"/>
    </row>
    <row r="144" spans="1:13" ht="16.5">
      <c r="A144" s="256" t="s">
        <v>106</v>
      </c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82"/>
    </row>
    <row r="145" spans="1:15" ht="16.5">
      <c r="A145" s="256" t="s">
        <v>107</v>
      </c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82"/>
    </row>
    <row r="146" spans="1:15" ht="15.75">
      <c r="A146" s="257" t="s">
        <v>180</v>
      </c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82"/>
    </row>
    <row r="147" spans="1:15">
      <c r="A147" s="245" t="s">
        <v>0</v>
      </c>
      <c r="B147" s="247" t="s">
        <v>108</v>
      </c>
      <c r="C147" s="249" t="s">
        <v>109</v>
      </c>
      <c r="D147" s="249"/>
      <c r="E147" s="247" t="s">
        <v>110</v>
      </c>
      <c r="F147" s="250" t="s">
        <v>111</v>
      </c>
      <c r="G147" s="251"/>
      <c r="H147" s="251"/>
      <c r="I147" s="251"/>
      <c r="J147" s="251"/>
      <c r="K147" s="251"/>
      <c r="L147" s="252"/>
      <c r="M147" s="247" t="s">
        <v>57</v>
      </c>
    </row>
    <row r="148" spans="1:15" ht="42">
      <c r="A148" s="246"/>
      <c r="B148" s="248"/>
      <c r="C148" s="84" t="s">
        <v>112</v>
      </c>
      <c r="D148" s="84" t="s">
        <v>113</v>
      </c>
      <c r="E148" s="248"/>
      <c r="F148" s="84" t="s">
        <v>114</v>
      </c>
      <c r="G148" s="85" t="s">
        <v>115</v>
      </c>
      <c r="H148" s="85" t="s">
        <v>116</v>
      </c>
      <c r="I148" s="84" t="s">
        <v>117</v>
      </c>
      <c r="J148" s="84" t="s">
        <v>118</v>
      </c>
      <c r="K148" s="84" t="s">
        <v>119</v>
      </c>
      <c r="L148" s="84" t="s">
        <v>120</v>
      </c>
      <c r="M148" s="248"/>
    </row>
    <row r="149" spans="1:15">
      <c r="A149" s="86">
        <v>1</v>
      </c>
      <c r="B149" s="86">
        <v>2</v>
      </c>
      <c r="C149" s="86">
        <v>3</v>
      </c>
      <c r="D149" s="86"/>
      <c r="E149" s="86">
        <v>4</v>
      </c>
      <c r="F149" s="86">
        <v>5</v>
      </c>
      <c r="G149" s="86">
        <v>6</v>
      </c>
      <c r="H149" s="86">
        <v>7</v>
      </c>
      <c r="I149" s="86">
        <v>8</v>
      </c>
      <c r="J149" s="86">
        <v>9</v>
      </c>
      <c r="K149" s="86">
        <v>10</v>
      </c>
      <c r="L149" s="86">
        <v>11</v>
      </c>
      <c r="M149" s="86">
        <v>12</v>
      </c>
    </row>
    <row r="150" spans="1:15">
      <c r="A150" s="87"/>
      <c r="B150" s="88" t="s">
        <v>110</v>
      </c>
      <c r="C150" s="87"/>
      <c r="D150" s="87"/>
      <c r="E150" s="89">
        <f>E151+E188+E190</f>
        <v>299669713.07570004</v>
      </c>
      <c r="F150" s="89">
        <f>F151+F188+F190</f>
        <v>296161313.07570004</v>
      </c>
      <c r="G150" s="89">
        <f t="shared" ref="G150:J150" si="10">G151+G188+G190</f>
        <v>3508400</v>
      </c>
      <c r="H150" s="89">
        <f t="shared" si="10"/>
        <v>0</v>
      </c>
      <c r="I150" s="89">
        <f t="shared" si="10"/>
        <v>0</v>
      </c>
      <c r="J150" s="89">
        <f t="shared" si="10"/>
        <v>0</v>
      </c>
      <c r="K150" s="87"/>
      <c r="L150" s="87"/>
      <c r="M150" s="87"/>
    </row>
    <row r="151" spans="1:15">
      <c r="A151" s="90" t="s">
        <v>121</v>
      </c>
      <c r="B151" s="88" t="s">
        <v>122</v>
      </c>
      <c r="C151" s="87"/>
      <c r="D151" s="87"/>
      <c r="E151" s="89">
        <f>SUM(E152:E187)</f>
        <v>296161313.07570004</v>
      </c>
      <c r="F151" s="89">
        <f>SUM(F152:F187)</f>
        <v>296161313.07570004</v>
      </c>
      <c r="G151" s="89">
        <f t="shared" ref="G151:J151" si="11">SUM(G152:G187)</f>
        <v>0</v>
      </c>
      <c r="H151" s="89">
        <f t="shared" si="11"/>
        <v>0</v>
      </c>
      <c r="I151" s="89">
        <f t="shared" si="11"/>
        <v>0</v>
      </c>
      <c r="J151" s="89">
        <f t="shared" si="11"/>
        <v>0</v>
      </c>
      <c r="K151" s="87"/>
      <c r="L151" s="87"/>
      <c r="M151" s="87"/>
      <c r="O151" s="8">
        <f>F152-F82</f>
        <v>72411.859999999404</v>
      </c>
    </row>
    <row r="152" spans="1:15" ht="15.75">
      <c r="A152" s="87">
        <v>1</v>
      </c>
      <c r="B152" s="91" t="s">
        <v>60</v>
      </c>
      <c r="C152" s="92">
        <v>4002205008058</v>
      </c>
      <c r="D152" s="93" t="s">
        <v>123</v>
      </c>
      <c r="E152" s="94">
        <f>SUM(F152:L152)</f>
        <v>11379448.859999999</v>
      </c>
      <c r="F152" s="95">
        <v>11379448.859999999</v>
      </c>
      <c r="G152" s="87"/>
      <c r="H152" s="87"/>
      <c r="I152" s="87"/>
      <c r="J152" s="94"/>
      <c r="K152" s="87"/>
      <c r="L152" s="87"/>
      <c r="M152" s="87"/>
    </row>
    <row r="153" spans="1:15" ht="15.75">
      <c r="A153" s="87">
        <v>2</v>
      </c>
      <c r="B153" s="96" t="s">
        <v>28</v>
      </c>
      <c r="C153" s="92">
        <v>4002215013939</v>
      </c>
      <c r="D153" s="93" t="s">
        <v>123</v>
      </c>
      <c r="E153" s="94">
        <f t="shared" ref="E153:E162" si="12">SUM(F153:L153)</f>
        <v>11229448.712400002</v>
      </c>
      <c r="F153" s="95">
        <v>11229448.712400002</v>
      </c>
      <c r="G153" s="87"/>
      <c r="H153" s="87"/>
      <c r="I153" s="87"/>
      <c r="J153" s="94"/>
      <c r="K153" s="87"/>
      <c r="L153" s="87"/>
      <c r="M153" s="87"/>
      <c r="O153" s="8">
        <f>F153-F83</f>
        <v>70395.712400002405</v>
      </c>
    </row>
    <row r="154" spans="1:15" ht="15.75">
      <c r="A154" s="87">
        <v>3</v>
      </c>
      <c r="B154" s="96" t="s">
        <v>30</v>
      </c>
      <c r="C154" s="92">
        <v>4002205008353</v>
      </c>
      <c r="D154" s="93" t="s">
        <v>123</v>
      </c>
      <c r="E154" s="94">
        <f t="shared" si="12"/>
        <v>11057510.52</v>
      </c>
      <c r="F154" s="95">
        <v>11057510.52</v>
      </c>
      <c r="G154" s="87"/>
      <c r="H154" s="87"/>
      <c r="I154" s="87"/>
      <c r="J154" s="94"/>
      <c r="K154" s="87"/>
      <c r="L154" s="87"/>
      <c r="M154" s="87"/>
    </row>
    <row r="155" spans="1:15" ht="15.75">
      <c r="A155" s="87">
        <v>4</v>
      </c>
      <c r="B155" s="96" t="s">
        <v>32</v>
      </c>
      <c r="C155" s="92">
        <v>4002205007706</v>
      </c>
      <c r="D155" s="93" t="s">
        <v>123</v>
      </c>
      <c r="E155" s="94">
        <f t="shared" si="12"/>
        <v>11331769.828500003</v>
      </c>
      <c r="F155" s="95">
        <v>11331769.828500003</v>
      </c>
      <c r="G155" s="97"/>
      <c r="H155" s="87"/>
      <c r="I155" s="87"/>
      <c r="J155" s="94"/>
      <c r="K155" s="87"/>
      <c r="L155" s="87"/>
      <c r="M155" s="87"/>
    </row>
    <row r="156" spans="1:15" ht="15.75">
      <c r="A156" s="87">
        <v>5</v>
      </c>
      <c r="B156" s="96" t="s">
        <v>124</v>
      </c>
      <c r="C156" s="92">
        <v>4002205007577</v>
      </c>
      <c r="D156" s="93" t="s">
        <v>123</v>
      </c>
      <c r="E156" s="94">
        <f t="shared" si="12"/>
        <v>11727965.849800002</v>
      </c>
      <c r="F156" s="95">
        <v>11727965.849800002</v>
      </c>
      <c r="G156" s="87"/>
      <c r="H156" s="87"/>
      <c r="I156" s="87"/>
      <c r="J156" s="94"/>
      <c r="K156" s="87"/>
      <c r="L156" s="87"/>
      <c r="M156" s="87"/>
      <c r="O156" s="8">
        <f>F156-F86</f>
        <v>73062.537399999797</v>
      </c>
    </row>
    <row r="157" spans="1:15" ht="15.75">
      <c r="A157" s="87">
        <v>6</v>
      </c>
      <c r="B157" s="96" t="s">
        <v>84</v>
      </c>
      <c r="C157" s="92">
        <v>4002205099727</v>
      </c>
      <c r="D157" s="93" t="s">
        <v>123</v>
      </c>
      <c r="E157" s="94">
        <f t="shared" si="12"/>
        <v>10096917.949999999</v>
      </c>
      <c r="F157" s="95">
        <v>10096917.949999999</v>
      </c>
      <c r="G157" s="87"/>
      <c r="H157" s="87"/>
      <c r="I157" s="87"/>
      <c r="J157" s="94"/>
      <c r="K157" s="87"/>
      <c r="L157" s="87"/>
      <c r="M157" s="87"/>
    </row>
    <row r="158" spans="1:15" ht="15.75">
      <c r="A158" s="87">
        <v>7</v>
      </c>
      <c r="B158" s="96" t="s">
        <v>31</v>
      </c>
      <c r="C158" s="98">
        <v>4002215005454</v>
      </c>
      <c r="D158" s="93" t="s">
        <v>123</v>
      </c>
      <c r="E158" s="94">
        <f t="shared" si="12"/>
        <v>10467575.564999999</v>
      </c>
      <c r="F158" s="95">
        <v>10467575.564999999</v>
      </c>
      <c r="G158" s="87"/>
      <c r="H158" s="87"/>
      <c r="I158" s="87"/>
      <c r="J158" s="94"/>
      <c r="K158" s="87"/>
      <c r="L158" s="87"/>
      <c r="M158" s="87"/>
      <c r="O158" s="8">
        <f>F158-F88</f>
        <v>65210.594999998808</v>
      </c>
    </row>
    <row r="159" spans="1:15" ht="15.75">
      <c r="A159" s="87">
        <v>8</v>
      </c>
      <c r="B159" s="96" t="s">
        <v>125</v>
      </c>
      <c r="C159" s="92">
        <v>4002215005369</v>
      </c>
      <c r="D159" s="93" t="s">
        <v>123</v>
      </c>
      <c r="E159" s="94">
        <f t="shared" si="12"/>
        <v>9643779.1500000004</v>
      </c>
      <c r="F159" s="95">
        <v>9643779.1500000004</v>
      </c>
      <c r="G159" s="87"/>
      <c r="H159" s="87"/>
      <c r="I159" s="87"/>
      <c r="J159" s="94"/>
      <c r="K159" s="87"/>
      <c r="L159" s="87"/>
      <c r="M159" s="87"/>
    </row>
    <row r="160" spans="1:15" ht="15.75">
      <c r="A160" s="87">
        <v>9</v>
      </c>
      <c r="B160" s="96" t="s">
        <v>33</v>
      </c>
      <c r="C160" s="98">
        <v>4002215013980</v>
      </c>
      <c r="D160" s="93" t="s">
        <v>123</v>
      </c>
      <c r="E160" s="94">
        <f t="shared" si="12"/>
        <v>9993888.1750000007</v>
      </c>
      <c r="F160" s="95">
        <v>9993888.1750000007</v>
      </c>
      <c r="G160" s="97"/>
      <c r="H160" s="87"/>
      <c r="I160" s="87"/>
      <c r="J160" s="94"/>
      <c r="K160" s="87"/>
      <c r="L160" s="87"/>
      <c r="M160" s="87"/>
    </row>
    <row r="161" spans="1:15" ht="15.75">
      <c r="A161" s="87">
        <v>10</v>
      </c>
      <c r="B161" s="96" t="s">
        <v>34</v>
      </c>
      <c r="C161" s="92">
        <v>4002215014006</v>
      </c>
      <c r="D161" s="93" t="s">
        <v>123</v>
      </c>
      <c r="E161" s="94">
        <f t="shared" si="12"/>
        <v>8728944.4800000004</v>
      </c>
      <c r="F161" s="95">
        <v>8728944.4800000004</v>
      </c>
      <c r="G161" s="87"/>
      <c r="H161" s="87"/>
      <c r="I161" s="87"/>
      <c r="J161" s="94"/>
      <c r="K161" s="87"/>
      <c r="L161" s="87"/>
      <c r="M161" s="87"/>
    </row>
    <row r="162" spans="1:15" ht="15.75">
      <c r="A162" s="87">
        <v>11</v>
      </c>
      <c r="B162" s="99" t="s">
        <v>36</v>
      </c>
      <c r="C162" s="98">
        <v>4002215020718</v>
      </c>
      <c r="D162" s="93" t="s">
        <v>123</v>
      </c>
      <c r="E162" s="94">
        <f t="shared" si="12"/>
        <v>9253615.1999999993</v>
      </c>
      <c r="F162" s="95">
        <v>9253615.1999999993</v>
      </c>
      <c r="G162" s="87"/>
      <c r="H162" s="87"/>
      <c r="I162" s="87"/>
      <c r="J162" s="94"/>
      <c r="K162" s="87"/>
      <c r="L162" s="87"/>
      <c r="M162" s="87"/>
      <c r="O162" s="8">
        <f>F162-F92</f>
        <v>60276.459999997169</v>
      </c>
    </row>
    <row r="163" spans="1:15" ht="15.75">
      <c r="A163" s="87">
        <v>12</v>
      </c>
      <c r="B163" s="96" t="s">
        <v>59</v>
      </c>
      <c r="C163" s="92">
        <v>4002215018587</v>
      </c>
      <c r="D163" s="93" t="s">
        <v>123</v>
      </c>
      <c r="E163" s="94">
        <f>SUM(F163:L163)</f>
        <v>6109968.4999999991</v>
      </c>
      <c r="F163" s="95">
        <v>6109968.4999999991</v>
      </c>
      <c r="G163" s="97"/>
      <c r="H163" s="87"/>
      <c r="I163" s="87"/>
      <c r="J163" s="94"/>
      <c r="K163" s="87"/>
      <c r="L163" s="87"/>
      <c r="M163" s="87"/>
    </row>
    <row r="164" spans="1:15" ht="15.75">
      <c r="A164" s="87">
        <v>13</v>
      </c>
      <c r="B164" s="96" t="s">
        <v>126</v>
      </c>
      <c r="C164" s="98">
        <v>4002215013945</v>
      </c>
      <c r="D164" s="93" t="s">
        <v>123</v>
      </c>
      <c r="E164" s="94">
        <f t="shared" ref="E164:E168" si="13">SUM(F164:L164)</f>
        <v>8844163.1999999993</v>
      </c>
      <c r="F164" s="95">
        <v>8844163.1999999993</v>
      </c>
      <c r="G164" s="87"/>
      <c r="H164" s="87"/>
      <c r="I164" s="87"/>
      <c r="J164" s="94"/>
      <c r="K164" s="87"/>
      <c r="L164" s="87"/>
      <c r="M164" s="87"/>
      <c r="O164" s="8">
        <f>F164-F94</f>
        <v>57609.359999997541</v>
      </c>
    </row>
    <row r="165" spans="1:15" ht="15.75">
      <c r="A165" s="87">
        <v>14</v>
      </c>
      <c r="B165" s="96" t="s">
        <v>37</v>
      </c>
      <c r="C165" s="98">
        <v>4002205015211</v>
      </c>
      <c r="D165" s="93" t="s">
        <v>123</v>
      </c>
      <c r="E165" s="94">
        <f t="shared" si="13"/>
        <v>8844163.1999999993</v>
      </c>
      <c r="F165" s="95">
        <v>8844163.1999999993</v>
      </c>
      <c r="G165" s="87"/>
      <c r="H165" s="87"/>
      <c r="I165" s="87"/>
      <c r="J165" s="94"/>
      <c r="K165" s="87"/>
      <c r="L165" s="87"/>
      <c r="M165" s="87"/>
      <c r="O165" s="8">
        <f>F165-F95</f>
        <v>57609.359999997541</v>
      </c>
    </row>
    <row r="166" spans="1:15" ht="15.75">
      <c r="A166" s="87">
        <v>15</v>
      </c>
      <c r="B166" s="96" t="s">
        <v>127</v>
      </c>
      <c r="C166" s="92">
        <v>4002215013793</v>
      </c>
      <c r="D166" s="93" t="s">
        <v>123</v>
      </c>
      <c r="E166" s="94">
        <f t="shared" si="13"/>
        <v>8786553.8400000017</v>
      </c>
      <c r="F166" s="95">
        <v>8786553.8400000017</v>
      </c>
      <c r="G166" s="87"/>
      <c r="H166" s="87"/>
      <c r="I166" s="87"/>
      <c r="J166" s="94"/>
      <c r="K166" s="87"/>
      <c r="L166" s="87"/>
      <c r="M166" s="87"/>
    </row>
    <row r="167" spans="1:15" ht="15.75">
      <c r="A167" s="87">
        <v>16</v>
      </c>
      <c r="B167" s="96" t="s">
        <v>38</v>
      </c>
      <c r="C167" s="98">
        <v>4002215013895</v>
      </c>
      <c r="D167" s="93" t="s">
        <v>123</v>
      </c>
      <c r="E167" s="94">
        <f t="shared" si="13"/>
        <v>8728944.4800000004</v>
      </c>
      <c r="F167" s="95">
        <v>8728944.4800000004</v>
      </c>
      <c r="G167" s="87"/>
      <c r="H167" s="87"/>
      <c r="I167" s="87"/>
      <c r="J167" s="94"/>
      <c r="K167" s="87"/>
      <c r="L167" s="87"/>
      <c r="M167" s="87"/>
      <c r="O167" s="8">
        <f t="shared" ref="O167:O178" si="14">F167-F97</f>
        <v>57609.360000001267</v>
      </c>
    </row>
    <row r="168" spans="1:15" ht="15.75">
      <c r="A168" s="87">
        <v>17</v>
      </c>
      <c r="B168" s="96" t="s">
        <v>128</v>
      </c>
      <c r="C168" s="98">
        <v>4002215005483</v>
      </c>
      <c r="D168" s="93" t="s">
        <v>123</v>
      </c>
      <c r="E168" s="94">
        <f t="shared" si="13"/>
        <v>8728944.4800000004</v>
      </c>
      <c r="F168" s="95">
        <v>8728944.4800000004</v>
      </c>
      <c r="G168" s="87"/>
      <c r="H168" s="87"/>
      <c r="I168" s="87"/>
      <c r="J168" s="94"/>
      <c r="K168" s="87"/>
      <c r="L168" s="87"/>
      <c r="M168" s="87"/>
      <c r="O168" s="8">
        <f t="shared" si="14"/>
        <v>57609.480000000447</v>
      </c>
    </row>
    <row r="169" spans="1:15" ht="15.75">
      <c r="A169" s="87">
        <v>18</v>
      </c>
      <c r="B169" s="96" t="s">
        <v>91</v>
      </c>
      <c r="C169" s="100">
        <v>4001205046288</v>
      </c>
      <c r="D169" s="93" t="s">
        <v>129</v>
      </c>
      <c r="E169" s="94">
        <f>SUM(F169:L169)</f>
        <v>9091642.5150000025</v>
      </c>
      <c r="F169" s="101">
        <v>9091642.5150000025</v>
      </c>
      <c r="G169" s="87"/>
      <c r="H169" s="87"/>
      <c r="I169" s="87"/>
      <c r="J169" s="94"/>
      <c r="K169" s="87"/>
      <c r="L169" s="87"/>
      <c r="M169" s="87"/>
      <c r="O169" s="8">
        <f t="shared" si="14"/>
        <v>59609.685000002384</v>
      </c>
    </row>
    <row r="170" spans="1:15" ht="15.75">
      <c r="A170" s="87">
        <v>19</v>
      </c>
      <c r="B170" s="99" t="s">
        <v>39</v>
      </c>
      <c r="C170" s="98">
        <v>4002205007627</v>
      </c>
      <c r="D170" s="93" t="s">
        <v>123</v>
      </c>
      <c r="E170" s="94">
        <f t="shared" ref="E170:E187" si="15">SUM(F170:L170)</f>
        <v>8901772.5600000005</v>
      </c>
      <c r="F170" s="95">
        <v>8901772.5600000005</v>
      </c>
      <c r="G170" s="87"/>
      <c r="H170" s="87"/>
      <c r="I170" s="87"/>
      <c r="J170" s="94"/>
      <c r="K170" s="87"/>
      <c r="L170" s="87"/>
      <c r="M170" s="87"/>
      <c r="O170" s="8">
        <f t="shared" si="14"/>
        <v>0</v>
      </c>
    </row>
    <row r="171" spans="1:15" ht="15.75">
      <c r="A171" s="87">
        <v>20</v>
      </c>
      <c r="B171" s="96" t="s">
        <v>40</v>
      </c>
      <c r="C171" s="98">
        <v>4002205008006</v>
      </c>
      <c r="D171" s="93" t="s">
        <v>123</v>
      </c>
      <c r="E171" s="94">
        <f t="shared" si="15"/>
        <v>8304620.7900000019</v>
      </c>
      <c r="F171" s="95">
        <v>8304620.7900000019</v>
      </c>
      <c r="G171" s="87"/>
      <c r="H171" s="87"/>
      <c r="I171" s="87"/>
      <c r="J171" s="94"/>
      <c r="K171" s="87"/>
      <c r="L171" s="87"/>
      <c r="M171" s="87"/>
      <c r="O171" s="8">
        <f t="shared" si="14"/>
        <v>54808.7900000019</v>
      </c>
    </row>
    <row r="172" spans="1:15" ht="15.75">
      <c r="A172" s="87">
        <v>21</v>
      </c>
      <c r="B172" s="96" t="s">
        <v>130</v>
      </c>
      <c r="C172" s="102">
        <v>4002215013808</v>
      </c>
      <c r="D172" s="93" t="s">
        <v>123</v>
      </c>
      <c r="E172" s="94">
        <f t="shared" si="15"/>
        <v>8008941.4649999999</v>
      </c>
      <c r="F172" s="95">
        <v>8008941.4649999999</v>
      </c>
      <c r="G172" s="87"/>
      <c r="H172" s="87"/>
      <c r="I172" s="87"/>
      <c r="J172" s="94"/>
      <c r="K172" s="87"/>
      <c r="L172" s="87"/>
      <c r="M172" s="87"/>
      <c r="O172" s="8">
        <f t="shared" si="14"/>
        <v>0</v>
      </c>
    </row>
    <row r="173" spans="1:15" ht="15.75">
      <c r="A173" s="87">
        <v>22</v>
      </c>
      <c r="B173" s="99" t="s">
        <v>41</v>
      </c>
      <c r="C173" s="98">
        <v>4002215005490</v>
      </c>
      <c r="D173" s="93" t="s">
        <v>123</v>
      </c>
      <c r="E173" s="94">
        <f t="shared" si="15"/>
        <v>8008941.4649999999</v>
      </c>
      <c r="F173" s="95">
        <v>8008941.4649999999</v>
      </c>
      <c r="G173" s="97"/>
      <c r="H173" s="87"/>
      <c r="I173" s="87"/>
      <c r="J173" s="94"/>
      <c r="K173" s="87"/>
      <c r="L173" s="87"/>
      <c r="M173" s="87"/>
      <c r="O173" s="8">
        <f t="shared" si="14"/>
        <v>53208.644999999553</v>
      </c>
    </row>
    <row r="174" spans="1:15" ht="15.75">
      <c r="A174" s="87">
        <v>23</v>
      </c>
      <c r="B174" s="99" t="s">
        <v>42</v>
      </c>
      <c r="C174" s="98">
        <v>4002215005425</v>
      </c>
      <c r="D174" s="93" t="s">
        <v>123</v>
      </c>
      <c r="E174" s="94">
        <f t="shared" si="15"/>
        <v>8157941.4649999999</v>
      </c>
      <c r="F174" s="95">
        <v>8157941.4649999999</v>
      </c>
      <c r="G174" s="87"/>
      <c r="H174" s="87"/>
      <c r="I174" s="87"/>
      <c r="J174" s="94"/>
      <c r="K174" s="87"/>
      <c r="L174" s="87"/>
      <c r="M174" s="87"/>
      <c r="O174" s="8">
        <f t="shared" si="14"/>
        <v>0</v>
      </c>
    </row>
    <row r="175" spans="1:15" ht="15.75">
      <c r="A175" s="87">
        <v>24</v>
      </c>
      <c r="B175" s="96" t="s">
        <v>131</v>
      </c>
      <c r="C175" s="92">
        <v>4002215005280</v>
      </c>
      <c r="D175" s="93" t="s">
        <v>123</v>
      </c>
      <c r="E175" s="94">
        <f t="shared" si="15"/>
        <v>7955732.8200000003</v>
      </c>
      <c r="F175" s="95">
        <v>7955732.8200000003</v>
      </c>
      <c r="G175" s="87"/>
      <c r="H175" s="87"/>
      <c r="I175" s="87"/>
      <c r="J175" s="94"/>
      <c r="K175" s="87"/>
      <c r="L175" s="87"/>
      <c r="M175" s="87"/>
      <c r="O175" s="8">
        <f t="shared" si="14"/>
        <v>53208.645000000484</v>
      </c>
    </row>
    <row r="176" spans="1:15" ht="15.75">
      <c r="A176" s="87">
        <v>25</v>
      </c>
      <c r="B176" s="96" t="s">
        <v>43</v>
      </c>
      <c r="C176" s="92">
        <v>4002215024731</v>
      </c>
      <c r="D176" s="93" t="s">
        <v>123</v>
      </c>
      <c r="E176" s="94">
        <f t="shared" si="15"/>
        <v>7955732.8200000003</v>
      </c>
      <c r="F176" s="95">
        <v>7955732.8200000003</v>
      </c>
      <c r="G176" s="87"/>
      <c r="H176" s="87"/>
      <c r="I176" s="87"/>
      <c r="J176" s="94"/>
      <c r="K176" s="87"/>
      <c r="L176" s="87"/>
      <c r="M176" s="87"/>
      <c r="O176" s="8">
        <f t="shared" si="14"/>
        <v>53208.645000000484</v>
      </c>
    </row>
    <row r="177" spans="1:15" ht="15.75">
      <c r="A177" s="87">
        <v>26</v>
      </c>
      <c r="B177" s="96" t="s">
        <v>58</v>
      </c>
      <c r="C177" s="98">
        <v>4002205100941</v>
      </c>
      <c r="D177" s="93" t="s">
        <v>123</v>
      </c>
      <c r="E177" s="94">
        <f t="shared" si="15"/>
        <v>6417710.8649999993</v>
      </c>
      <c r="F177" s="95">
        <v>6417710.8649999993</v>
      </c>
      <c r="G177" s="87"/>
      <c r="H177" s="87"/>
      <c r="I177" s="87"/>
      <c r="J177" s="94"/>
      <c r="K177" s="87"/>
      <c r="L177" s="87"/>
      <c r="M177" s="87"/>
      <c r="O177" s="8">
        <f t="shared" si="14"/>
        <v>0</v>
      </c>
    </row>
    <row r="178" spans="1:15" ht="15.75">
      <c r="A178" s="87">
        <v>27</v>
      </c>
      <c r="B178" s="96" t="s">
        <v>44</v>
      </c>
      <c r="C178" s="92">
        <v>4002205008330</v>
      </c>
      <c r="D178" s="93" t="s">
        <v>123</v>
      </c>
      <c r="E178" s="94">
        <f t="shared" si="15"/>
        <v>7902524.1749999998</v>
      </c>
      <c r="F178" s="95">
        <v>7902524.1749999998</v>
      </c>
      <c r="G178" s="97"/>
      <c r="H178" s="87"/>
      <c r="I178" s="87"/>
      <c r="J178" s="94"/>
      <c r="K178" s="87"/>
      <c r="L178" s="87"/>
      <c r="M178" s="87"/>
      <c r="O178" s="8">
        <f t="shared" si="14"/>
        <v>53208.644999999553</v>
      </c>
    </row>
    <row r="179" spans="1:15">
      <c r="A179" s="87">
        <v>28</v>
      </c>
      <c r="B179" s="103" t="s">
        <v>132</v>
      </c>
      <c r="C179" s="100">
        <v>4002215005323</v>
      </c>
      <c r="D179" s="93" t="s">
        <v>123</v>
      </c>
      <c r="E179" s="94">
        <f t="shared" si="15"/>
        <v>0</v>
      </c>
      <c r="F179" s="104">
        <v>0</v>
      </c>
      <c r="G179" s="87"/>
      <c r="H179" s="87"/>
      <c r="I179" s="87"/>
      <c r="J179" s="94"/>
      <c r="K179" s="87"/>
      <c r="L179" s="87"/>
      <c r="M179" s="120" t="s">
        <v>152</v>
      </c>
      <c r="O179" s="8">
        <f>SUM(O151:O178)</f>
        <v>899047.77979999874</v>
      </c>
    </row>
    <row r="180" spans="1:15" ht="15.75">
      <c r="A180" s="87">
        <v>29</v>
      </c>
      <c r="B180" s="99" t="s">
        <v>46</v>
      </c>
      <c r="C180" s="105">
        <v>4002215005510</v>
      </c>
      <c r="D180" s="93" t="s">
        <v>123</v>
      </c>
      <c r="E180" s="94">
        <f t="shared" si="15"/>
        <v>7815646</v>
      </c>
      <c r="F180" s="104">
        <v>7815646</v>
      </c>
      <c r="G180" s="87"/>
      <c r="H180" s="87"/>
      <c r="I180" s="87"/>
      <c r="J180" s="94"/>
      <c r="K180" s="87"/>
      <c r="L180" s="87"/>
      <c r="M180" s="87"/>
    </row>
    <row r="181" spans="1:15" ht="15.75">
      <c r="A181" s="87">
        <v>30</v>
      </c>
      <c r="B181" s="96" t="s">
        <v>47</v>
      </c>
      <c r="C181" s="98">
        <v>4002215013889</v>
      </c>
      <c r="D181" s="93" t="s">
        <v>123</v>
      </c>
      <c r="E181" s="94">
        <f t="shared" si="15"/>
        <v>7902524.1749999998</v>
      </c>
      <c r="F181" s="104">
        <v>7902524.1749999998</v>
      </c>
      <c r="G181" s="87"/>
      <c r="H181" s="87"/>
      <c r="I181" s="87"/>
      <c r="J181" s="94"/>
      <c r="K181" s="87"/>
      <c r="L181" s="87"/>
      <c r="M181" s="87"/>
    </row>
    <row r="182" spans="1:15" ht="15.75">
      <c r="A182" s="87">
        <v>31</v>
      </c>
      <c r="B182" s="96" t="s">
        <v>48</v>
      </c>
      <c r="C182" s="92">
        <v>4002215005346</v>
      </c>
      <c r="D182" s="93" t="s">
        <v>123</v>
      </c>
      <c r="E182" s="94">
        <f t="shared" si="15"/>
        <v>7151316.0900000008</v>
      </c>
      <c r="F182" s="104">
        <v>7151316.0900000008</v>
      </c>
      <c r="G182" s="87"/>
      <c r="H182" s="87"/>
      <c r="I182" s="87"/>
      <c r="J182" s="94"/>
      <c r="K182" s="87"/>
      <c r="L182" s="87"/>
      <c r="M182" s="87"/>
    </row>
    <row r="183" spans="1:15" ht="15.75">
      <c r="A183" s="87">
        <v>32</v>
      </c>
      <c r="B183" s="96" t="s">
        <v>92</v>
      </c>
      <c r="C183" s="98">
        <v>4002215021438</v>
      </c>
      <c r="D183" s="93" t="s">
        <v>123</v>
      </c>
      <c r="E183" s="94">
        <f t="shared" si="15"/>
        <v>6373303.6500000004</v>
      </c>
      <c r="F183" s="104">
        <v>6373303.6500000004</v>
      </c>
      <c r="G183" s="87"/>
      <c r="H183" s="87"/>
      <c r="I183" s="87"/>
      <c r="J183" s="94"/>
      <c r="K183" s="87"/>
      <c r="L183" s="87"/>
      <c r="M183" s="87"/>
    </row>
    <row r="184" spans="1:15" ht="15.75">
      <c r="A184" s="87">
        <v>33</v>
      </c>
      <c r="B184" s="96" t="s">
        <v>93</v>
      </c>
      <c r="C184" s="98">
        <v>4002205007265</v>
      </c>
      <c r="D184" s="93" t="s">
        <v>123</v>
      </c>
      <c r="E184" s="94">
        <f t="shared" si="15"/>
        <v>7053700.2299999986</v>
      </c>
      <c r="F184" s="104">
        <v>7053700.2299999986</v>
      </c>
      <c r="G184" s="87"/>
      <c r="H184" s="87"/>
      <c r="I184" s="87"/>
      <c r="J184" s="94"/>
      <c r="K184" s="87"/>
      <c r="L184" s="87"/>
      <c r="M184" s="87"/>
    </row>
    <row r="185" spans="1:15" ht="22.5">
      <c r="A185" s="87">
        <v>34</v>
      </c>
      <c r="B185" s="96" t="s">
        <v>95</v>
      </c>
      <c r="C185" s="100">
        <v>4009205061263</v>
      </c>
      <c r="D185" s="106" t="s">
        <v>133</v>
      </c>
      <c r="E185" s="104">
        <f t="shared" si="15"/>
        <v>5341650</v>
      </c>
      <c r="F185" s="104">
        <v>5341650</v>
      </c>
      <c r="G185" s="87"/>
      <c r="H185" s="87"/>
      <c r="I185" s="87"/>
      <c r="J185" s="94"/>
      <c r="K185" s="87"/>
      <c r="L185" s="87"/>
      <c r="M185" s="87"/>
    </row>
    <row r="186" spans="1:15" ht="15.75">
      <c r="A186" s="87">
        <v>35</v>
      </c>
      <c r="B186" s="96" t="s">
        <v>49</v>
      </c>
      <c r="C186" s="100">
        <v>4002215005330</v>
      </c>
      <c r="D186" s="93" t="s">
        <v>123</v>
      </c>
      <c r="E186" s="94">
        <f t="shared" si="15"/>
        <v>4752057</v>
      </c>
      <c r="F186" s="104">
        <v>4752057</v>
      </c>
      <c r="G186" s="87"/>
      <c r="H186" s="87"/>
      <c r="I186" s="87"/>
      <c r="J186" s="94"/>
      <c r="K186" s="87"/>
      <c r="L186" s="87"/>
      <c r="M186" s="87"/>
    </row>
    <row r="187" spans="1:15" ht="15.75">
      <c r="A187" s="87">
        <v>36</v>
      </c>
      <c r="B187" s="96" t="s">
        <v>50</v>
      </c>
      <c r="C187" s="100">
        <v>4002215013758</v>
      </c>
      <c r="D187" s="93" t="s">
        <v>123</v>
      </c>
      <c r="E187" s="94">
        <f t="shared" si="15"/>
        <v>4111953</v>
      </c>
      <c r="F187" s="104">
        <v>4111953</v>
      </c>
      <c r="G187" s="87"/>
      <c r="H187" s="87"/>
      <c r="I187" s="87"/>
      <c r="J187" s="94"/>
      <c r="K187" s="87"/>
      <c r="L187" s="87"/>
      <c r="M187" s="87"/>
    </row>
    <row r="188" spans="1:15">
      <c r="A188" s="90" t="s">
        <v>134</v>
      </c>
      <c r="B188" s="88" t="s">
        <v>135</v>
      </c>
      <c r="C188" s="107"/>
      <c r="D188" s="103"/>
      <c r="E188" s="89">
        <f>E189</f>
        <v>3508400</v>
      </c>
      <c r="F188" s="89"/>
      <c r="G188" s="89">
        <f>G189</f>
        <v>3508400</v>
      </c>
      <c r="H188" s="87"/>
      <c r="I188" s="87"/>
      <c r="J188" s="89"/>
      <c r="K188" s="87"/>
      <c r="L188" s="87"/>
      <c r="M188" s="87"/>
    </row>
    <row r="189" spans="1:15" ht="15.75">
      <c r="A189" s="87">
        <v>1</v>
      </c>
      <c r="B189" s="96" t="s">
        <v>51</v>
      </c>
      <c r="C189" s="100">
        <v>4002205034012</v>
      </c>
      <c r="D189" s="93" t="s">
        <v>123</v>
      </c>
      <c r="E189" s="108">
        <f>F189+G189+J189</f>
        <v>3508400</v>
      </c>
      <c r="F189" s="104"/>
      <c r="G189" s="104">
        <v>3508400</v>
      </c>
      <c r="H189" s="87"/>
      <c r="I189" s="87"/>
      <c r="J189" s="94"/>
      <c r="K189" s="87"/>
      <c r="L189" s="87"/>
      <c r="M189" s="87"/>
    </row>
    <row r="190" spans="1:15">
      <c r="A190" s="88" t="s">
        <v>136</v>
      </c>
      <c r="B190" s="109" t="s">
        <v>137</v>
      </c>
      <c r="C190" s="110"/>
      <c r="D190" s="87"/>
      <c r="E190" s="88">
        <v>0</v>
      </c>
      <c r="F190" s="88">
        <v>0</v>
      </c>
      <c r="G190" s="87"/>
      <c r="H190" s="87"/>
      <c r="I190" s="87"/>
      <c r="J190" s="94"/>
      <c r="K190" s="87"/>
      <c r="L190" s="87"/>
      <c r="M190" s="87"/>
    </row>
    <row r="191" spans="1:15">
      <c r="A191" s="260" t="s">
        <v>214</v>
      </c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</row>
    <row r="192" spans="1:15" ht="15.75">
      <c r="A192" s="111" t="s">
        <v>138</v>
      </c>
      <c r="B192" s="111"/>
      <c r="C192" s="111"/>
      <c r="D192" s="111"/>
      <c r="E192" s="111"/>
      <c r="F192" s="111"/>
      <c r="G192" s="111"/>
      <c r="H192" s="82"/>
      <c r="I192" s="82"/>
      <c r="J192" s="82"/>
      <c r="K192" s="82"/>
      <c r="L192" s="82"/>
      <c r="M192" s="82"/>
    </row>
    <row r="193" spans="1:13" ht="15.75">
      <c r="A193" s="112" t="s">
        <v>169</v>
      </c>
      <c r="B193" s="112"/>
      <c r="C193" s="113">
        <f>C126</f>
        <v>298770665.78090012</v>
      </c>
      <c r="D193" s="258" t="s">
        <v>171</v>
      </c>
      <c r="E193" s="258"/>
      <c r="F193" s="258"/>
      <c r="G193" s="258"/>
      <c r="H193" s="114"/>
      <c r="I193" s="114"/>
      <c r="J193" s="114"/>
      <c r="K193" s="114"/>
      <c r="L193" s="114"/>
      <c r="M193" s="82"/>
    </row>
    <row r="194" spans="1:13" ht="15.75">
      <c r="A194" s="242" t="s">
        <v>139</v>
      </c>
      <c r="B194" s="242"/>
      <c r="C194" s="115">
        <v>899047</v>
      </c>
      <c r="D194" s="112" t="s">
        <v>213</v>
      </c>
      <c r="E194" s="112"/>
      <c r="F194" s="112"/>
      <c r="G194" s="117"/>
      <c r="H194" s="117"/>
      <c r="I194" s="117"/>
      <c r="J194" s="117"/>
      <c r="K194" s="117"/>
      <c r="L194" s="117"/>
      <c r="M194" s="82"/>
    </row>
    <row r="195" spans="1:13" ht="15.75">
      <c r="A195" s="242" t="s">
        <v>141</v>
      </c>
      <c r="B195" s="242"/>
      <c r="C195" s="8">
        <f>0</f>
        <v>0</v>
      </c>
      <c r="D195" s="112" t="s">
        <v>140</v>
      </c>
      <c r="E195" s="118"/>
      <c r="F195" s="114"/>
      <c r="G195" s="114"/>
      <c r="H195" s="114"/>
      <c r="I195" s="114"/>
      <c r="J195" s="114"/>
      <c r="K195" s="114"/>
      <c r="L195" s="114"/>
      <c r="M195" s="82"/>
    </row>
    <row r="196" spans="1:13">
      <c r="A196" s="112" t="s">
        <v>241</v>
      </c>
      <c r="B196" s="112"/>
      <c r="C196" s="119">
        <f>C193+C194-C195</f>
        <v>299669712.78090012</v>
      </c>
      <c r="D196" s="258" t="s">
        <v>245</v>
      </c>
      <c r="E196" s="258"/>
      <c r="F196" s="258"/>
      <c r="G196" s="258"/>
      <c r="H196" s="241"/>
      <c r="I196" s="241"/>
      <c r="J196" s="241"/>
      <c r="K196" s="241"/>
      <c r="L196" s="241"/>
      <c r="M196" s="241"/>
    </row>
    <row r="197" spans="1:13">
      <c r="A197" s="243" t="s">
        <v>212</v>
      </c>
      <c r="B197" s="243"/>
      <c r="C197" s="243"/>
      <c r="D197" s="243" t="s">
        <v>211</v>
      </c>
      <c r="E197" s="243"/>
      <c r="F197" s="243"/>
      <c r="G197" s="243"/>
      <c r="H197" s="243"/>
      <c r="I197" s="243"/>
      <c r="J197" s="243"/>
      <c r="K197" s="243"/>
      <c r="L197" s="243"/>
      <c r="M197" s="124"/>
    </row>
    <row r="198" spans="1:13">
      <c r="A198" s="112"/>
      <c r="B198" s="112" t="s">
        <v>183</v>
      </c>
      <c r="C198" s="126">
        <v>70396</v>
      </c>
      <c r="D198" s="243" t="s">
        <v>197</v>
      </c>
      <c r="E198" s="243"/>
      <c r="F198" s="243"/>
      <c r="G198" s="243"/>
      <c r="H198" s="243"/>
      <c r="I198" s="243"/>
      <c r="J198" s="243"/>
      <c r="K198" s="243"/>
      <c r="L198" s="243"/>
      <c r="M198" s="124"/>
    </row>
    <row r="199" spans="1:13">
      <c r="A199" s="112"/>
      <c r="B199" s="125" t="s">
        <v>184</v>
      </c>
      <c r="C199" s="126">
        <f>73063</f>
        <v>73063</v>
      </c>
      <c r="D199" s="243" t="s">
        <v>198</v>
      </c>
      <c r="E199" s="243"/>
      <c r="F199" s="243"/>
      <c r="G199" s="243"/>
      <c r="H199" s="243"/>
      <c r="I199" s="243"/>
      <c r="J199" s="243"/>
      <c r="K199" s="243"/>
      <c r="L199" s="243"/>
      <c r="M199" s="124"/>
    </row>
    <row r="200" spans="1:13">
      <c r="A200" s="112"/>
      <c r="B200" s="112" t="s">
        <v>185</v>
      </c>
      <c r="C200" s="126">
        <v>65211</v>
      </c>
      <c r="D200" s="243" t="s">
        <v>201</v>
      </c>
      <c r="E200" s="243"/>
      <c r="F200" s="243"/>
      <c r="G200" s="243"/>
      <c r="H200" s="243"/>
      <c r="I200" s="243"/>
      <c r="J200" s="243"/>
      <c r="K200" s="243"/>
      <c r="L200" s="243"/>
      <c r="M200" s="124"/>
    </row>
    <row r="201" spans="1:13">
      <c r="A201" s="112"/>
      <c r="B201" s="112" t="s">
        <v>186</v>
      </c>
      <c r="C201" s="126">
        <v>62274</v>
      </c>
      <c r="D201" s="243" t="s">
        <v>208</v>
      </c>
      <c r="E201" s="243"/>
      <c r="F201" s="243"/>
      <c r="G201" s="243"/>
      <c r="H201" s="243"/>
      <c r="I201" s="243"/>
      <c r="J201" s="243"/>
      <c r="K201" s="243"/>
      <c r="L201" s="243"/>
      <c r="M201" s="124"/>
    </row>
    <row r="202" spans="1:13">
      <c r="A202" s="112"/>
      <c r="B202" s="112" t="s">
        <v>196</v>
      </c>
      <c r="C202" s="126">
        <v>57609</v>
      </c>
      <c r="D202" s="243" t="s">
        <v>204</v>
      </c>
      <c r="E202" s="243"/>
      <c r="F202" s="243"/>
      <c r="G202" s="243"/>
      <c r="H202" s="243"/>
      <c r="I202" s="243"/>
      <c r="J202" s="243"/>
      <c r="K202" s="243"/>
      <c r="L202" s="243"/>
      <c r="M202" s="124"/>
    </row>
    <row r="203" spans="1:13">
      <c r="A203" s="112"/>
      <c r="B203" s="112" t="s">
        <v>187</v>
      </c>
      <c r="C203" s="126">
        <v>57609</v>
      </c>
      <c r="D203" s="243" t="s">
        <v>205</v>
      </c>
      <c r="E203" s="243"/>
      <c r="F203" s="243"/>
      <c r="G203" s="243"/>
      <c r="H203" s="243"/>
      <c r="I203" s="243"/>
      <c r="J203" s="243"/>
      <c r="K203" s="243"/>
      <c r="L203" s="243"/>
      <c r="M203" s="124"/>
    </row>
    <row r="204" spans="1:13">
      <c r="A204" s="112"/>
      <c r="B204" s="112" t="s">
        <v>188</v>
      </c>
      <c r="C204" s="126">
        <v>57609</v>
      </c>
      <c r="D204" s="243" t="s">
        <v>202</v>
      </c>
      <c r="E204" s="243"/>
      <c r="F204" s="243"/>
      <c r="G204" s="243"/>
      <c r="H204" s="243"/>
      <c r="I204" s="243"/>
      <c r="J204" s="243"/>
      <c r="K204" s="243"/>
      <c r="L204" s="243"/>
      <c r="M204" s="124"/>
    </row>
    <row r="205" spans="1:13">
      <c r="A205" s="112"/>
      <c r="B205" s="112" t="s">
        <v>189</v>
      </c>
      <c r="C205" s="126">
        <v>57609</v>
      </c>
      <c r="D205" s="243" t="s">
        <v>203</v>
      </c>
      <c r="E205" s="243"/>
      <c r="F205" s="243"/>
      <c r="G205" s="243"/>
      <c r="H205" s="243"/>
      <c r="I205" s="243"/>
      <c r="J205" s="243"/>
      <c r="K205" s="243"/>
      <c r="L205" s="243"/>
      <c r="M205" s="124"/>
    </row>
    <row r="206" spans="1:13">
      <c r="A206" s="112"/>
      <c r="B206" s="112" t="s">
        <v>190</v>
      </c>
      <c r="C206" s="126">
        <v>57610</v>
      </c>
      <c r="D206" s="243" t="s">
        <v>210</v>
      </c>
      <c r="E206" s="243"/>
      <c r="F206" s="243"/>
      <c r="G206" s="243"/>
      <c r="H206" s="243"/>
      <c r="I206" s="243"/>
      <c r="J206" s="243"/>
      <c r="K206" s="243"/>
      <c r="L206" s="243"/>
      <c r="M206" s="124"/>
    </row>
    <row r="207" spans="1:13">
      <c r="A207" s="112"/>
      <c r="B207" s="112" t="s">
        <v>191</v>
      </c>
      <c r="C207" s="126">
        <v>54809</v>
      </c>
      <c r="D207" s="243" t="s">
        <v>200</v>
      </c>
      <c r="E207" s="243"/>
      <c r="F207" s="243"/>
      <c r="G207" s="243"/>
      <c r="H207" s="243"/>
      <c r="I207" s="243"/>
      <c r="J207" s="243"/>
      <c r="K207" s="243"/>
      <c r="L207" s="243"/>
      <c r="M207" s="124"/>
    </row>
    <row r="208" spans="1:13">
      <c r="A208" s="112"/>
      <c r="B208" s="112" t="s">
        <v>192</v>
      </c>
      <c r="C208" s="126">
        <v>53209</v>
      </c>
      <c r="D208" s="243" t="s">
        <v>199</v>
      </c>
      <c r="E208" s="243"/>
      <c r="F208" s="243"/>
      <c r="G208" s="243"/>
      <c r="H208" s="243"/>
      <c r="I208" s="243"/>
      <c r="J208" s="243"/>
      <c r="K208" s="243"/>
      <c r="L208" s="243"/>
      <c r="M208" s="124"/>
    </row>
    <row r="209" spans="1:13">
      <c r="A209" s="112"/>
      <c r="B209" s="112" t="s">
        <v>193</v>
      </c>
      <c r="C209" s="126">
        <v>53209</v>
      </c>
      <c r="D209" s="243" t="s">
        <v>206</v>
      </c>
      <c r="E209" s="243"/>
      <c r="F209" s="243"/>
      <c r="G209" s="243"/>
      <c r="H209" s="243"/>
      <c r="I209" s="243"/>
      <c r="J209" s="243"/>
      <c r="K209" s="243"/>
      <c r="L209" s="243"/>
      <c r="M209" s="124"/>
    </row>
    <row r="210" spans="1:13">
      <c r="A210" s="112"/>
      <c r="B210" s="112" t="s">
        <v>194</v>
      </c>
      <c r="C210" s="126">
        <v>53209</v>
      </c>
      <c r="D210" s="243" t="s">
        <v>207</v>
      </c>
      <c r="E210" s="243"/>
      <c r="F210" s="243"/>
      <c r="G210" s="243"/>
      <c r="H210" s="243"/>
      <c r="I210" s="243"/>
      <c r="J210" s="243"/>
      <c r="K210" s="243"/>
      <c r="L210" s="243"/>
      <c r="M210" s="124"/>
    </row>
    <row r="211" spans="1:13" ht="19.5" customHeight="1">
      <c r="A211" s="112"/>
      <c r="B211" s="112" t="s">
        <v>195</v>
      </c>
      <c r="C211" s="126">
        <v>53209</v>
      </c>
      <c r="D211" s="243" t="s">
        <v>209</v>
      </c>
      <c r="E211" s="243"/>
      <c r="F211" s="243"/>
      <c r="G211" s="243"/>
      <c r="H211" s="243"/>
      <c r="I211" s="243"/>
      <c r="J211" s="243"/>
      <c r="K211" s="243"/>
      <c r="L211" s="243"/>
      <c r="M211" s="124"/>
    </row>
    <row r="212" spans="1:13">
      <c r="A212" s="123"/>
      <c r="B212" s="123"/>
      <c r="C212" s="123"/>
      <c r="D212" s="123"/>
      <c r="E212" s="115"/>
      <c r="F212" s="82"/>
      <c r="G212" s="82"/>
      <c r="H212" s="241" t="s">
        <v>181</v>
      </c>
      <c r="I212" s="241"/>
      <c r="J212" s="241"/>
      <c r="K212" s="241"/>
      <c r="L212" s="241"/>
      <c r="M212" s="241"/>
    </row>
    <row r="213" spans="1:13" ht="15.75">
      <c r="A213" s="82"/>
      <c r="B213" s="82"/>
      <c r="C213" s="239" t="s">
        <v>142</v>
      </c>
      <c r="D213" s="239"/>
      <c r="E213" s="239" t="s">
        <v>79</v>
      </c>
      <c r="F213" s="239"/>
      <c r="G213" s="239"/>
      <c r="H213" s="239" t="s">
        <v>143</v>
      </c>
      <c r="I213" s="239"/>
      <c r="J213" s="239"/>
      <c r="K213" s="239"/>
      <c r="L213" s="239"/>
      <c r="M213" s="239"/>
    </row>
    <row r="214" spans="1:13">
      <c r="A214" s="82"/>
      <c r="B214" s="82"/>
      <c r="C214" s="242" t="s">
        <v>144</v>
      </c>
      <c r="D214" s="242"/>
      <c r="E214" s="242" t="s">
        <v>145</v>
      </c>
      <c r="F214" s="242"/>
      <c r="G214" s="242"/>
      <c r="H214" s="242" t="s">
        <v>146</v>
      </c>
      <c r="I214" s="242"/>
      <c r="J214" s="242"/>
      <c r="K214" s="242"/>
      <c r="L214" s="242"/>
      <c r="M214" s="242"/>
    </row>
    <row r="215" spans="1:13">
      <c r="A215" s="82"/>
      <c r="B215" s="82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</row>
    <row r="216" spans="1:13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</row>
    <row r="217" spans="1:13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</row>
    <row r="218" spans="1:13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</row>
    <row r="219" spans="1:13" ht="15.75">
      <c r="A219" s="82"/>
      <c r="B219" s="82"/>
      <c r="C219" s="239" t="s">
        <v>59</v>
      </c>
      <c r="D219" s="239"/>
      <c r="E219" s="239" t="s">
        <v>59</v>
      </c>
      <c r="F219" s="239"/>
      <c r="G219" s="239"/>
      <c r="H219" s="239" t="s">
        <v>60</v>
      </c>
      <c r="I219" s="239"/>
      <c r="J219" s="239"/>
      <c r="K219" s="239"/>
      <c r="L219" s="239"/>
      <c r="M219" s="239"/>
    </row>
    <row r="220" spans="1:13" ht="21.75" customHeight="1">
      <c r="A220" s="240" t="s">
        <v>147</v>
      </c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</row>
    <row r="221" spans="1:13">
      <c r="A221" s="82"/>
      <c r="B221" s="82"/>
      <c r="C221" s="82"/>
      <c r="D221" s="82"/>
      <c r="E221" s="82"/>
      <c r="F221" s="82"/>
      <c r="G221" s="241" t="s">
        <v>157</v>
      </c>
      <c r="H221" s="241"/>
      <c r="I221" s="241"/>
      <c r="J221" s="241"/>
      <c r="K221" s="241"/>
      <c r="L221" s="241"/>
      <c r="M221" s="241"/>
    </row>
    <row r="222" spans="1:13" ht="15.75">
      <c r="A222" s="82"/>
      <c r="B222" s="240" t="s">
        <v>148</v>
      </c>
      <c r="C222" s="240"/>
      <c r="D222" s="240"/>
      <c r="E222" s="240"/>
      <c r="F222" s="240"/>
      <c r="G222" s="239" t="s">
        <v>149</v>
      </c>
      <c r="H222" s="239"/>
      <c r="I222" s="239"/>
      <c r="J222" s="239"/>
      <c r="K222" s="239"/>
      <c r="L222" s="239"/>
      <c r="M222" s="239"/>
    </row>
    <row r="223" spans="1:13" ht="15.75">
      <c r="A223" s="82"/>
      <c r="B223" s="133"/>
      <c r="C223" s="133"/>
      <c r="D223" s="133"/>
      <c r="E223" s="133"/>
      <c r="F223" s="133"/>
      <c r="G223" s="131"/>
      <c r="H223" s="131"/>
      <c r="I223" s="131"/>
      <c r="J223" s="131"/>
      <c r="K223" s="131"/>
      <c r="L223" s="131"/>
      <c r="M223" s="131"/>
    </row>
    <row r="224" spans="1:13" ht="15.75">
      <c r="A224" s="82"/>
      <c r="B224" s="133"/>
      <c r="C224" s="133"/>
      <c r="D224" s="133"/>
      <c r="E224" s="133"/>
      <c r="F224" s="133"/>
      <c r="G224" s="131"/>
      <c r="H224" s="131"/>
      <c r="I224" s="131"/>
      <c r="J224" s="131"/>
      <c r="K224" s="131"/>
      <c r="L224" s="131"/>
      <c r="M224" s="131"/>
    </row>
    <row r="225" spans="1:13" ht="15.75">
      <c r="A225" s="82"/>
      <c r="B225" s="133"/>
      <c r="C225" s="133"/>
      <c r="D225" s="133"/>
      <c r="E225" s="133"/>
      <c r="F225" s="133"/>
      <c r="G225" s="131"/>
      <c r="H225" s="131"/>
      <c r="I225" s="131"/>
      <c r="J225" s="131"/>
      <c r="K225" s="131"/>
      <c r="L225" s="131"/>
      <c r="M225" s="131"/>
    </row>
    <row r="226" spans="1:13" ht="15.75">
      <c r="A226" s="82"/>
      <c r="B226" s="133"/>
      <c r="C226" s="133"/>
      <c r="D226" s="133"/>
      <c r="E226" s="133"/>
      <c r="F226" s="133"/>
      <c r="G226" s="131"/>
      <c r="H226" s="131"/>
      <c r="I226" s="131"/>
      <c r="J226" s="131"/>
      <c r="K226" s="131"/>
      <c r="L226" s="131"/>
      <c r="M226" s="131"/>
    </row>
    <row r="227" spans="1:13" ht="15.75">
      <c r="A227" s="82"/>
      <c r="B227" s="133"/>
      <c r="C227" s="133"/>
      <c r="D227" s="133"/>
      <c r="E227" s="133"/>
      <c r="F227" s="133"/>
      <c r="G227" s="131"/>
      <c r="H227" s="131"/>
      <c r="I227" s="131"/>
      <c r="J227" s="131"/>
      <c r="K227" s="131"/>
      <c r="L227" s="131"/>
      <c r="M227" s="131"/>
    </row>
    <row r="228" spans="1:13" ht="15.75">
      <c r="A228" s="82"/>
      <c r="B228" s="133"/>
      <c r="C228" s="133"/>
      <c r="D228" s="133"/>
      <c r="E228" s="133"/>
      <c r="F228" s="133"/>
      <c r="G228" s="131"/>
      <c r="H228" s="131"/>
      <c r="I228" s="131"/>
      <c r="J228" s="131"/>
      <c r="K228" s="131"/>
      <c r="L228" s="131"/>
      <c r="M228" s="131"/>
    </row>
    <row r="229" spans="1:13" ht="15.75">
      <c r="A229" s="82"/>
      <c r="B229" s="133"/>
      <c r="C229" s="133"/>
      <c r="D229" s="133"/>
      <c r="E229" s="133"/>
      <c r="F229" s="133"/>
      <c r="G229" s="131"/>
      <c r="H229" s="131"/>
      <c r="I229" s="131"/>
      <c r="J229" s="131"/>
      <c r="K229" s="131"/>
      <c r="L229" s="131"/>
      <c r="M229" s="131"/>
    </row>
    <row r="230" spans="1:13" ht="15.75">
      <c r="A230" s="82"/>
      <c r="B230" s="133"/>
      <c r="C230" s="133"/>
      <c r="D230" s="133"/>
      <c r="E230" s="133"/>
      <c r="F230" s="133"/>
      <c r="G230" s="131"/>
      <c r="H230" s="131"/>
      <c r="I230" s="131"/>
      <c r="J230" s="131"/>
      <c r="K230" s="131"/>
      <c r="L230" s="131"/>
      <c r="M230" s="131"/>
    </row>
    <row r="231" spans="1:13" ht="15.75">
      <c r="A231" s="82"/>
      <c r="B231" s="133"/>
      <c r="C231" s="133"/>
      <c r="D231" s="133"/>
      <c r="E231" s="133"/>
      <c r="F231" s="133"/>
      <c r="G231" s="131"/>
      <c r="H231" s="131"/>
      <c r="I231" s="131"/>
      <c r="J231" s="131"/>
      <c r="K231" s="131"/>
      <c r="L231" s="131"/>
      <c r="M231" s="131"/>
    </row>
    <row r="232" spans="1:13" ht="15.75">
      <c r="A232" s="82"/>
      <c r="B232" s="133"/>
      <c r="C232" s="133"/>
      <c r="D232" s="133"/>
      <c r="E232" s="133"/>
      <c r="F232" s="133"/>
      <c r="G232" s="131"/>
      <c r="H232" s="131"/>
      <c r="I232" s="131"/>
      <c r="J232" s="131"/>
      <c r="K232" s="131"/>
      <c r="L232" s="131"/>
      <c r="M232" s="131"/>
    </row>
    <row r="233" spans="1:13" ht="15.75">
      <c r="A233" s="82"/>
      <c r="B233" s="133"/>
      <c r="C233" s="133"/>
      <c r="D233" s="133"/>
      <c r="E233" s="133"/>
      <c r="F233" s="133"/>
      <c r="G233" s="131"/>
      <c r="H233" s="131"/>
      <c r="I233" s="131"/>
      <c r="J233" s="131"/>
      <c r="K233" s="131"/>
      <c r="L233" s="131"/>
      <c r="M233" s="131"/>
    </row>
    <row r="234" spans="1:13" ht="15.75">
      <c r="A234" s="82"/>
      <c r="B234" s="133"/>
      <c r="C234" s="133"/>
      <c r="D234" s="133"/>
      <c r="E234" s="133"/>
      <c r="F234" s="133"/>
      <c r="G234" s="131"/>
      <c r="H234" s="131"/>
      <c r="I234" s="131"/>
      <c r="J234" s="131"/>
      <c r="K234" s="131"/>
      <c r="L234" s="131"/>
      <c r="M234" s="131"/>
    </row>
    <row r="235" spans="1:13" ht="15.75">
      <c r="A235" s="82"/>
      <c r="B235" s="133"/>
      <c r="C235" s="133"/>
      <c r="D235" s="133"/>
      <c r="E235" s="133"/>
      <c r="F235" s="133"/>
      <c r="G235" s="131"/>
      <c r="H235" s="131"/>
      <c r="I235" s="131"/>
      <c r="J235" s="131"/>
      <c r="K235" s="131"/>
      <c r="L235" s="131"/>
      <c r="M235" s="131"/>
    </row>
    <row r="236" spans="1:13" ht="15.75">
      <c r="A236" s="82"/>
      <c r="B236" s="133"/>
      <c r="C236" s="133"/>
      <c r="D236" s="133"/>
      <c r="E236" s="133"/>
      <c r="F236" s="133"/>
      <c r="G236" s="131"/>
      <c r="H236" s="131"/>
      <c r="I236" s="131"/>
      <c r="J236" s="131"/>
      <c r="K236" s="131"/>
      <c r="L236" s="131"/>
      <c r="M236" s="131"/>
    </row>
    <row r="237" spans="1:13" ht="15.75">
      <c r="A237" s="82"/>
      <c r="B237" s="133"/>
      <c r="C237" s="133"/>
      <c r="D237" s="133"/>
      <c r="E237" s="133"/>
      <c r="F237" s="133"/>
      <c r="G237" s="131"/>
      <c r="H237" s="131"/>
      <c r="I237" s="131"/>
      <c r="J237" s="131"/>
      <c r="K237" s="131"/>
      <c r="L237" s="131"/>
      <c r="M237" s="131"/>
    </row>
    <row r="238" spans="1:13" ht="15.75">
      <c r="A238" s="82"/>
      <c r="B238" s="133"/>
      <c r="C238" s="133"/>
      <c r="D238" s="133"/>
      <c r="E238" s="133"/>
      <c r="F238" s="133"/>
      <c r="G238" s="131"/>
      <c r="H238" s="131"/>
      <c r="I238" s="131"/>
      <c r="J238" s="131"/>
      <c r="K238" s="131"/>
      <c r="L238" s="131"/>
      <c r="M238" s="131"/>
    </row>
    <row r="239" spans="1:13" ht="15.75">
      <c r="A239" s="82"/>
      <c r="B239" s="133"/>
      <c r="C239" s="133"/>
      <c r="D239" s="133"/>
      <c r="E239" s="133"/>
      <c r="F239" s="133"/>
      <c r="G239" s="131"/>
      <c r="H239" s="131"/>
      <c r="I239" s="131"/>
      <c r="J239" s="131"/>
      <c r="K239" s="131"/>
      <c r="L239" s="131"/>
      <c r="M239" s="131"/>
    </row>
    <row r="240" spans="1:13" ht="15.75">
      <c r="A240" s="82"/>
      <c r="B240" s="133"/>
      <c r="C240" s="133"/>
      <c r="D240" s="133"/>
      <c r="E240" s="133"/>
      <c r="F240" s="133"/>
      <c r="G240" s="131"/>
      <c r="H240" s="131"/>
      <c r="I240" s="131"/>
      <c r="J240" s="131"/>
      <c r="K240" s="131"/>
      <c r="L240" s="131"/>
      <c r="M240" s="131"/>
    </row>
    <row r="241" spans="1:13" ht="15.75">
      <c r="A241" s="82"/>
      <c r="B241" s="133"/>
      <c r="C241" s="133"/>
      <c r="D241" s="133"/>
      <c r="E241" s="133"/>
      <c r="F241" s="133"/>
      <c r="G241" s="131"/>
      <c r="H241" s="131"/>
      <c r="I241" s="131"/>
      <c r="J241" s="131"/>
      <c r="K241" s="131"/>
      <c r="L241" s="131"/>
      <c r="M241" s="131"/>
    </row>
    <row r="246" spans="1:13" ht="18.75">
      <c r="A246" s="253" t="s">
        <v>102</v>
      </c>
      <c r="B246" s="253"/>
      <c r="C246" s="253"/>
      <c r="D246" s="253"/>
      <c r="E246" s="253"/>
      <c r="F246" s="253"/>
      <c r="G246" s="253"/>
      <c r="H246" s="253"/>
      <c r="I246" s="253"/>
      <c r="J246" s="253"/>
      <c r="K246" s="242" t="s">
        <v>103</v>
      </c>
      <c r="L246" s="242"/>
      <c r="M246" s="81"/>
    </row>
    <row r="247" spans="1:13" ht="18.75">
      <c r="A247" s="254" t="s">
        <v>179</v>
      </c>
      <c r="B247" s="254"/>
      <c r="C247" s="254"/>
      <c r="D247" s="254"/>
      <c r="E247" s="254"/>
      <c r="F247" s="254"/>
      <c r="G247" s="254"/>
      <c r="H247" s="254"/>
      <c r="I247" s="254"/>
      <c r="J247" s="254"/>
      <c r="K247" s="255" t="s">
        <v>215</v>
      </c>
      <c r="L247" s="255"/>
      <c r="M247" s="82"/>
    </row>
    <row r="248" spans="1:13" ht="18.75">
      <c r="A248" s="130"/>
      <c r="B248" s="130"/>
      <c r="C248" s="254" t="s">
        <v>104</v>
      </c>
      <c r="D248" s="254"/>
      <c r="E248" s="254"/>
      <c r="F248" s="254"/>
      <c r="G248" s="254"/>
      <c r="H248" s="254"/>
      <c r="I248" s="254"/>
      <c r="J248" s="130"/>
      <c r="K248" s="130"/>
      <c r="L248" s="130"/>
      <c r="M248" s="82"/>
    </row>
    <row r="249" spans="1:13" ht="16.5">
      <c r="A249" s="256" t="s">
        <v>105</v>
      </c>
      <c r="B249" s="256"/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82"/>
    </row>
    <row r="250" spans="1:13" ht="16.5">
      <c r="A250" s="256" t="s">
        <v>106</v>
      </c>
      <c r="B250" s="256"/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82"/>
    </row>
    <row r="251" spans="1:13" ht="16.5">
      <c r="A251" s="256" t="s">
        <v>107</v>
      </c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82"/>
    </row>
    <row r="252" spans="1:13" ht="15.75">
      <c r="A252" s="257" t="s">
        <v>233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82"/>
    </row>
    <row r="253" spans="1:13">
      <c r="A253" s="245" t="s">
        <v>0</v>
      </c>
      <c r="B253" s="247" t="s">
        <v>108</v>
      </c>
      <c r="C253" s="249" t="s">
        <v>109</v>
      </c>
      <c r="D253" s="249"/>
      <c r="E253" s="247" t="s">
        <v>110</v>
      </c>
      <c r="F253" s="250" t="s">
        <v>111</v>
      </c>
      <c r="G253" s="251"/>
      <c r="H253" s="251"/>
      <c r="I253" s="251"/>
      <c r="J253" s="251"/>
      <c r="K253" s="251"/>
      <c r="L253" s="252"/>
      <c r="M253" s="247" t="s">
        <v>57</v>
      </c>
    </row>
    <row r="254" spans="1:13" ht="42">
      <c r="A254" s="246"/>
      <c r="B254" s="248"/>
      <c r="C254" s="84" t="s">
        <v>112</v>
      </c>
      <c r="D254" s="84" t="s">
        <v>113</v>
      </c>
      <c r="E254" s="248"/>
      <c r="F254" s="84" t="s">
        <v>114</v>
      </c>
      <c r="G254" s="85" t="s">
        <v>115</v>
      </c>
      <c r="H254" s="85" t="s">
        <v>116</v>
      </c>
      <c r="I254" s="84" t="s">
        <v>117</v>
      </c>
      <c r="J254" s="84" t="s">
        <v>118</v>
      </c>
      <c r="K254" s="84" t="s">
        <v>119</v>
      </c>
      <c r="L254" s="84" t="s">
        <v>120</v>
      </c>
      <c r="M254" s="248"/>
    </row>
    <row r="255" spans="1:13">
      <c r="A255" s="86">
        <v>1</v>
      </c>
      <c r="B255" s="86">
        <v>2</v>
      </c>
      <c r="C255" s="86">
        <v>3</v>
      </c>
      <c r="D255" s="86"/>
      <c r="E255" s="86">
        <v>4</v>
      </c>
      <c r="F255" s="86">
        <v>5</v>
      </c>
      <c r="G255" s="86">
        <v>6</v>
      </c>
      <c r="H255" s="86">
        <v>7</v>
      </c>
      <c r="I255" s="86">
        <v>8</v>
      </c>
      <c r="J255" s="86">
        <v>9</v>
      </c>
      <c r="K255" s="86">
        <v>10</v>
      </c>
      <c r="L255" s="86">
        <v>11</v>
      </c>
      <c r="M255" s="86">
        <v>12</v>
      </c>
    </row>
    <row r="256" spans="1:13">
      <c r="A256" s="87"/>
      <c r="B256" s="88" t="s">
        <v>110</v>
      </c>
      <c r="C256" s="87"/>
      <c r="D256" s="87"/>
      <c r="E256" s="89">
        <f t="shared" ref="E256:J256" si="16">E257+E273+E274</f>
        <v>3130508.6250000028</v>
      </c>
      <c r="F256" s="89">
        <f t="shared" si="16"/>
        <v>3130508.6250000028</v>
      </c>
      <c r="G256" s="89">
        <f t="shared" si="16"/>
        <v>0</v>
      </c>
      <c r="H256" s="89">
        <f t="shared" si="16"/>
        <v>0</v>
      </c>
      <c r="I256" s="89">
        <f t="shared" si="16"/>
        <v>0</v>
      </c>
      <c r="J256" s="89">
        <f t="shared" si="16"/>
        <v>0</v>
      </c>
      <c r="K256" s="87"/>
      <c r="L256" s="87"/>
      <c r="M256" s="87"/>
    </row>
    <row r="257" spans="1:13">
      <c r="A257" s="90" t="s">
        <v>121</v>
      </c>
      <c r="B257" s="88" t="s">
        <v>122</v>
      </c>
      <c r="C257" s="87"/>
      <c r="D257" s="87"/>
      <c r="E257" s="89">
        <f t="shared" ref="E257:J257" si="17">SUM(E258:E272)</f>
        <v>3130508.6250000028</v>
      </c>
      <c r="F257" s="89">
        <f t="shared" si="17"/>
        <v>3130508.6250000028</v>
      </c>
      <c r="G257" s="89">
        <f t="shared" si="17"/>
        <v>0</v>
      </c>
      <c r="H257" s="89">
        <f t="shared" si="17"/>
        <v>0</v>
      </c>
      <c r="I257" s="89">
        <f t="shared" si="17"/>
        <v>0</v>
      </c>
      <c r="J257" s="89">
        <f t="shared" si="17"/>
        <v>0</v>
      </c>
      <c r="K257" s="87"/>
      <c r="L257" s="87"/>
      <c r="M257" s="87"/>
    </row>
    <row r="258" spans="1:13" ht="34.5" customHeight="1">
      <c r="A258" s="87">
        <v>1</v>
      </c>
      <c r="B258" s="91" t="s">
        <v>60</v>
      </c>
      <c r="C258" s="92">
        <v>4002205008058</v>
      </c>
      <c r="D258" s="93" t="s">
        <v>123</v>
      </c>
      <c r="E258" s="94">
        <f>SUM(F258:L258)</f>
        <v>214834.90500000014</v>
      </c>
      <c r="F258" s="95">
        <v>214834.90500000014</v>
      </c>
      <c r="G258" s="87"/>
      <c r="H258" s="87"/>
      <c r="I258" s="87"/>
      <c r="J258" s="94"/>
      <c r="K258" s="87"/>
      <c r="L258" s="87"/>
      <c r="M258" s="135" t="s">
        <v>216</v>
      </c>
    </row>
    <row r="259" spans="1:13" ht="34.5" customHeight="1">
      <c r="A259" s="87">
        <v>2</v>
      </c>
      <c r="B259" s="96" t="s">
        <v>40</v>
      </c>
      <c r="C259" s="98">
        <v>4002205008006</v>
      </c>
      <c r="D259" s="93" t="s">
        <v>123</v>
      </c>
      <c r="E259" s="94">
        <f t="shared" ref="E259:E271" si="18">SUM(F259:L259)</f>
        <v>164426.71500000017</v>
      </c>
      <c r="F259" s="95">
        <v>164426.71500000017</v>
      </c>
      <c r="G259" s="87"/>
      <c r="H259" s="87"/>
      <c r="I259" s="87"/>
      <c r="J259" s="94"/>
      <c r="K259" s="87"/>
      <c r="L259" s="87"/>
      <c r="M259" s="135" t="s">
        <v>217</v>
      </c>
    </row>
    <row r="260" spans="1:13" ht="34.5" customHeight="1">
      <c r="A260" s="87">
        <v>3</v>
      </c>
      <c r="B260" s="96" t="s">
        <v>31</v>
      </c>
      <c r="C260" s="98">
        <v>4002215005454</v>
      </c>
      <c r="D260" s="93" t="s">
        <v>123</v>
      </c>
      <c r="E260" s="94">
        <f t="shared" si="18"/>
        <v>195631.78500000015</v>
      </c>
      <c r="F260" s="95">
        <v>195631.78500000015</v>
      </c>
      <c r="G260" s="87"/>
      <c r="H260" s="87"/>
      <c r="I260" s="87"/>
      <c r="J260" s="94"/>
      <c r="K260" s="87"/>
      <c r="L260" s="87"/>
      <c r="M260" s="135" t="s">
        <v>218</v>
      </c>
    </row>
    <row r="261" spans="1:13" ht="34.5" customHeight="1">
      <c r="A261" s="87">
        <v>4</v>
      </c>
      <c r="B261" s="96" t="s">
        <v>38</v>
      </c>
      <c r="C261" s="98">
        <v>4002215013895</v>
      </c>
      <c r="D261" s="93" t="s">
        <v>123</v>
      </c>
      <c r="E261" s="94">
        <f t="shared" si="18"/>
        <v>172828.08000000016</v>
      </c>
      <c r="F261" s="95">
        <v>172828.08000000016</v>
      </c>
      <c r="G261" s="87"/>
      <c r="H261" s="87"/>
      <c r="I261" s="87"/>
      <c r="J261" s="94"/>
      <c r="K261" s="87"/>
      <c r="L261" s="87"/>
      <c r="M261" s="135" t="s">
        <v>219</v>
      </c>
    </row>
    <row r="262" spans="1:13" ht="31.5" customHeight="1">
      <c r="A262" s="87">
        <v>5</v>
      </c>
      <c r="B262" s="96" t="s">
        <v>128</v>
      </c>
      <c r="C262" s="98">
        <v>4002215005483</v>
      </c>
      <c r="D262" s="93" t="s">
        <v>123</v>
      </c>
      <c r="E262" s="94">
        <f t="shared" si="18"/>
        <v>172828.08000000016</v>
      </c>
      <c r="F262" s="95">
        <v>172828.08000000016</v>
      </c>
      <c r="G262" s="87"/>
      <c r="H262" s="87"/>
      <c r="I262" s="87"/>
      <c r="J262" s="94"/>
      <c r="K262" s="87"/>
      <c r="L262" s="87"/>
      <c r="M262" s="135" t="s">
        <v>220</v>
      </c>
    </row>
    <row r="263" spans="1:13" ht="31.5" customHeight="1">
      <c r="A263" s="87">
        <v>6</v>
      </c>
      <c r="B263" s="96" t="s">
        <v>28</v>
      </c>
      <c r="C263" s="92">
        <v>4002215013939</v>
      </c>
      <c r="D263" s="93" t="s">
        <v>123</v>
      </c>
      <c r="E263" s="94">
        <f t="shared" si="18"/>
        <v>201632.76000000021</v>
      </c>
      <c r="F263" s="95">
        <v>201632.76000000021</v>
      </c>
      <c r="G263" s="87"/>
      <c r="H263" s="87"/>
      <c r="I263" s="87"/>
      <c r="J263" s="94"/>
      <c r="K263" s="87"/>
      <c r="L263" s="87"/>
      <c r="M263" s="135" t="s">
        <v>221</v>
      </c>
    </row>
    <row r="264" spans="1:13" ht="31.5" customHeight="1">
      <c r="A264" s="87">
        <v>7</v>
      </c>
      <c r="B264" s="96" t="s">
        <v>126</v>
      </c>
      <c r="C264" s="98">
        <v>4002215013945</v>
      </c>
      <c r="D264" s="93" t="s">
        <v>123</v>
      </c>
      <c r="E264" s="94">
        <f t="shared" si="18"/>
        <v>172828.08000000016</v>
      </c>
      <c r="F264" s="95">
        <v>172828.08000000016</v>
      </c>
      <c r="G264" s="87"/>
      <c r="H264" s="87"/>
      <c r="I264" s="87"/>
      <c r="J264" s="94"/>
      <c r="K264" s="87"/>
      <c r="L264" s="87"/>
      <c r="M264" s="135" t="s">
        <v>222</v>
      </c>
    </row>
    <row r="265" spans="1:13" ht="31.5" customHeight="1">
      <c r="A265" s="87">
        <v>8</v>
      </c>
      <c r="B265" s="96" t="s">
        <v>37</v>
      </c>
      <c r="C265" s="98">
        <v>4002205015211</v>
      </c>
      <c r="D265" s="93" t="s">
        <v>123</v>
      </c>
      <c r="E265" s="94">
        <f t="shared" si="18"/>
        <v>172828.08000000016</v>
      </c>
      <c r="F265" s="95">
        <v>172828.08000000016</v>
      </c>
      <c r="G265" s="87"/>
      <c r="H265" s="87"/>
      <c r="I265" s="87"/>
      <c r="J265" s="94"/>
      <c r="K265" s="87"/>
      <c r="L265" s="87"/>
      <c r="M265" s="135" t="s">
        <v>223</v>
      </c>
    </row>
    <row r="266" spans="1:13" ht="31.5" customHeight="1">
      <c r="A266" s="87">
        <v>9</v>
      </c>
      <c r="B266" s="96" t="s">
        <v>131</v>
      </c>
      <c r="C266" s="92">
        <v>4002215005280</v>
      </c>
      <c r="D266" s="93" t="s">
        <v>123</v>
      </c>
      <c r="E266" s="94">
        <f t="shared" si="18"/>
        <v>159625.93500000014</v>
      </c>
      <c r="F266" s="95">
        <v>159625.93500000014</v>
      </c>
      <c r="G266" s="87"/>
      <c r="H266" s="87"/>
      <c r="I266" s="87"/>
      <c r="J266" s="94"/>
      <c r="K266" s="87"/>
      <c r="L266" s="87"/>
      <c r="M266" s="135" t="s">
        <v>224</v>
      </c>
    </row>
    <row r="267" spans="1:13" ht="31.5" customHeight="1">
      <c r="A267" s="87">
        <v>10</v>
      </c>
      <c r="B267" s="96" t="s">
        <v>43</v>
      </c>
      <c r="C267" s="92">
        <v>4002215024731</v>
      </c>
      <c r="D267" s="93" t="s">
        <v>123</v>
      </c>
      <c r="E267" s="94">
        <f t="shared" si="18"/>
        <v>159625.93500000014</v>
      </c>
      <c r="F267" s="95">
        <v>159625.93500000014</v>
      </c>
      <c r="G267" s="87"/>
      <c r="H267" s="87"/>
      <c r="I267" s="87"/>
      <c r="J267" s="94"/>
      <c r="K267" s="87"/>
      <c r="L267" s="87"/>
      <c r="M267" s="135" t="s">
        <v>225</v>
      </c>
    </row>
    <row r="268" spans="1:13" ht="31.5" customHeight="1">
      <c r="A268" s="87">
        <v>11</v>
      </c>
      <c r="B268" s="96" t="s">
        <v>124</v>
      </c>
      <c r="C268" s="92">
        <v>4002205007577</v>
      </c>
      <c r="D268" s="93" t="s">
        <v>123</v>
      </c>
      <c r="E268" s="94">
        <f t="shared" si="18"/>
        <v>209634.0600000002</v>
      </c>
      <c r="F268" s="95">
        <v>209634.0600000002</v>
      </c>
      <c r="G268" s="87"/>
      <c r="H268" s="87"/>
      <c r="I268" s="87"/>
      <c r="J268" s="94"/>
      <c r="K268" s="87"/>
      <c r="L268" s="87"/>
      <c r="M268" s="135" t="s">
        <v>226</v>
      </c>
    </row>
    <row r="269" spans="1:13" ht="31.5" customHeight="1">
      <c r="A269" s="87">
        <v>12</v>
      </c>
      <c r="B269" s="99" t="s">
        <v>36</v>
      </c>
      <c r="C269" s="98">
        <v>4002215020718</v>
      </c>
      <c r="D269" s="93" t="s">
        <v>123</v>
      </c>
      <c r="E269" s="94">
        <f t="shared" si="18"/>
        <v>180829.38000000021</v>
      </c>
      <c r="F269" s="95">
        <v>180829.38000000021</v>
      </c>
      <c r="G269" s="87"/>
      <c r="H269" s="87"/>
      <c r="I269" s="87"/>
      <c r="J269" s="94"/>
      <c r="K269" s="87"/>
      <c r="L269" s="87"/>
      <c r="M269" s="135" t="s">
        <v>227</v>
      </c>
    </row>
    <row r="270" spans="1:13" ht="31.5" customHeight="1">
      <c r="A270" s="87">
        <v>13</v>
      </c>
      <c r="B270" s="96" t="s">
        <v>44</v>
      </c>
      <c r="C270" s="92">
        <v>4002205008330</v>
      </c>
      <c r="D270" s="93" t="s">
        <v>123</v>
      </c>
      <c r="E270" s="94">
        <f t="shared" si="18"/>
        <v>159625.93500000014</v>
      </c>
      <c r="F270" s="95">
        <v>159625.93500000014</v>
      </c>
      <c r="G270" s="97"/>
      <c r="H270" s="87"/>
      <c r="I270" s="87"/>
      <c r="J270" s="94"/>
      <c r="K270" s="87"/>
      <c r="L270" s="87"/>
      <c r="M270" s="135" t="s">
        <v>228</v>
      </c>
    </row>
    <row r="271" spans="1:13" ht="31.5" customHeight="1">
      <c r="A271" s="87">
        <v>14</v>
      </c>
      <c r="B271" s="99" t="s">
        <v>41</v>
      </c>
      <c r="C271" s="98">
        <v>4002215005490</v>
      </c>
      <c r="D271" s="93" t="s">
        <v>123</v>
      </c>
      <c r="E271" s="94">
        <f t="shared" si="18"/>
        <v>159625.93500000014</v>
      </c>
      <c r="F271" s="95">
        <v>159625.93500000014</v>
      </c>
      <c r="G271" s="97"/>
      <c r="H271" s="87"/>
      <c r="I271" s="87"/>
      <c r="J271" s="94"/>
      <c r="K271" s="87"/>
      <c r="L271" s="87"/>
      <c r="M271" s="135" t="s">
        <v>229</v>
      </c>
    </row>
    <row r="272" spans="1:13" ht="31.5" customHeight="1">
      <c r="A272" s="87">
        <v>15</v>
      </c>
      <c r="B272" s="96" t="s">
        <v>91</v>
      </c>
      <c r="C272" s="100">
        <v>4001205046288</v>
      </c>
      <c r="D272" s="93" t="s">
        <v>129</v>
      </c>
      <c r="E272" s="94">
        <f>SUM(F272:L272)</f>
        <v>633702.96000000066</v>
      </c>
      <c r="F272" s="101">
        <v>633702.96000000066</v>
      </c>
      <c r="G272" s="87"/>
      <c r="H272" s="87"/>
      <c r="I272" s="87"/>
      <c r="J272" s="94"/>
      <c r="K272" s="87"/>
      <c r="L272" s="87"/>
      <c r="M272" s="135" t="s">
        <v>230</v>
      </c>
    </row>
    <row r="273" spans="1:15">
      <c r="A273" s="90" t="s">
        <v>134</v>
      </c>
      <c r="B273" s="88" t="s">
        <v>135</v>
      </c>
      <c r="C273" s="107"/>
      <c r="D273" s="103"/>
      <c r="E273" s="89"/>
      <c r="F273" s="89"/>
      <c r="G273" s="89"/>
      <c r="H273" s="87"/>
      <c r="I273" s="87"/>
      <c r="J273" s="89"/>
      <c r="K273" s="87"/>
      <c r="L273" s="87"/>
      <c r="M273" s="87"/>
    </row>
    <row r="274" spans="1:15">
      <c r="A274" s="88" t="s">
        <v>136</v>
      </c>
      <c r="B274" s="109" t="s">
        <v>137</v>
      </c>
      <c r="C274" s="110"/>
      <c r="D274" s="87"/>
      <c r="E274" s="88">
        <v>0</v>
      </c>
      <c r="F274" s="88">
        <v>0</v>
      </c>
      <c r="G274" s="87"/>
      <c r="H274" s="87"/>
      <c r="I274" s="87"/>
      <c r="J274" s="94"/>
      <c r="K274" s="87"/>
      <c r="L274" s="87"/>
      <c r="M274" s="87"/>
    </row>
    <row r="275" spans="1:15" ht="20.25" customHeight="1">
      <c r="A275" s="261" t="s">
        <v>231</v>
      </c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</row>
    <row r="276" spans="1:15" ht="15.75">
      <c r="A276" s="111" t="s">
        <v>138</v>
      </c>
      <c r="B276" s="111"/>
      <c r="C276" s="111"/>
      <c r="D276" s="111"/>
      <c r="E276" s="111"/>
      <c r="F276" s="111"/>
      <c r="G276" s="111"/>
      <c r="H276" s="82"/>
      <c r="I276" s="82"/>
      <c r="J276" s="82"/>
      <c r="K276" s="82"/>
      <c r="L276" s="82"/>
      <c r="M276" s="82"/>
    </row>
    <row r="277" spans="1:15">
      <c r="A277" s="134"/>
      <c r="B277" s="134"/>
      <c r="C277" s="134"/>
      <c r="D277" s="134"/>
      <c r="E277" s="115"/>
      <c r="F277" s="82"/>
      <c r="G277" s="82"/>
      <c r="H277" s="241" t="s">
        <v>232</v>
      </c>
      <c r="I277" s="241"/>
      <c r="J277" s="241"/>
      <c r="K277" s="241"/>
      <c r="L277" s="241"/>
      <c r="M277" s="241"/>
    </row>
    <row r="278" spans="1:15" ht="15.75">
      <c r="A278" s="82"/>
      <c r="B278" s="82"/>
      <c r="C278" s="239" t="s">
        <v>142</v>
      </c>
      <c r="D278" s="239"/>
      <c r="E278" s="239" t="s">
        <v>79</v>
      </c>
      <c r="F278" s="239"/>
      <c r="G278" s="239"/>
      <c r="H278" s="239" t="s">
        <v>143</v>
      </c>
      <c r="I278" s="239"/>
      <c r="J278" s="239"/>
      <c r="K278" s="239"/>
      <c r="L278" s="239"/>
      <c r="M278" s="239"/>
    </row>
    <row r="279" spans="1:15">
      <c r="A279" s="82"/>
      <c r="B279" s="82"/>
      <c r="C279" s="242" t="s">
        <v>144</v>
      </c>
      <c r="D279" s="242"/>
      <c r="E279" s="242" t="s">
        <v>145</v>
      </c>
      <c r="F279" s="242"/>
      <c r="G279" s="242"/>
      <c r="H279" s="242" t="s">
        <v>146</v>
      </c>
      <c r="I279" s="242"/>
      <c r="J279" s="242"/>
      <c r="K279" s="242"/>
      <c r="L279" s="242"/>
      <c r="M279" s="242"/>
    </row>
    <row r="280" spans="1:15">
      <c r="A280" s="82"/>
      <c r="B280" s="8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</row>
    <row r="281" spans="1:1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</row>
    <row r="282" spans="1:1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</row>
    <row r="283" spans="1:1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</row>
    <row r="284" spans="1:15" ht="15.75">
      <c r="A284" s="82"/>
      <c r="B284" s="82"/>
      <c r="C284" s="239" t="s">
        <v>59</v>
      </c>
      <c r="D284" s="239"/>
      <c r="E284" s="239" t="s">
        <v>59</v>
      </c>
      <c r="F284" s="239"/>
      <c r="G284" s="239"/>
      <c r="H284" s="239" t="s">
        <v>60</v>
      </c>
      <c r="I284" s="239"/>
      <c r="J284" s="239"/>
      <c r="K284" s="239"/>
      <c r="L284" s="239"/>
      <c r="M284" s="239"/>
    </row>
    <row r="285" spans="1:15">
      <c r="A285" s="240" t="s">
        <v>147</v>
      </c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</row>
    <row r="286" spans="1:15">
      <c r="A286" s="82"/>
      <c r="B286" s="82"/>
      <c r="C286" s="82"/>
      <c r="D286" s="82"/>
      <c r="E286" s="82"/>
      <c r="F286" s="82"/>
      <c r="G286" s="241" t="s">
        <v>157</v>
      </c>
      <c r="H286" s="241"/>
      <c r="I286" s="241"/>
      <c r="J286" s="241"/>
      <c r="K286" s="241"/>
      <c r="L286" s="241"/>
      <c r="M286" s="241"/>
    </row>
    <row r="287" spans="1:15" ht="15.75">
      <c r="A287" s="82"/>
      <c r="B287" s="240" t="s">
        <v>148</v>
      </c>
      <c r="C287" s="240"/>
      <c r="D287" s="240"/>
      <c r="E287" s="240"/>
      <c r="F287" s="240"/>
      <c r="G287" s="239" t="s">
        <v>149</v>
      </c>
      <c r="H287" s="239"/>
      <c r="I287" s="239"/>
      <c r="J287" s="239"/>
      <c r="K287" s="239"/>
      <c r="L287" s="239"/>
      <c r="M287" s="239"/>
    </row>
    <row r="300" spans="1:13" ht="18.75">
      <c r="A300" s="253" t="s">
        <v>102</v>
      </c>
      <c r="B300" s="253"/>
      <c r="C300" s="253"/>
      <c r="D300" s="253"/>
      <c r="E300" s="253"/>
      <c r="F300" s="253"/>
      <c r="G300" s="253"/>
      <c r="H300" s="253"/>
      <c r="I300" s="253"/>
      <c r="J300" s="253"/>
      <c r="K300" s="242" t="s">
        <v>103</v>
      </c>
      <c r="L300" s="242"/>
      <c r="M300" s="81"/>
    </row>
    <row r="301" spans="1:13" ht="18.75">
      <c r="A301" s="254" t="s">
        <v>239</v>
      </c>
      <c r="B301" s="254"/>
      <c r="C301" s="254"/>
      <c r="D301" s="254"/>
      <c r="E301" s="254"/>
      <c r="F301" s="254"/>
      <c r="G301" s="254"/>
      <c r="H301" s="254"/>
      <c r="I301" s="254"/>
      <c r="J301" s="254"/>
      <c r="K301" s="255" t="s">
        <v>215</v>
      </c>
      <c r="L301" s="255"/>
      <c r="M301" s="82"/>
    </row>
    <row r="302" spans="1:13" ht="18.75">
      <c r="A302" s="140"/>
      <c r="B302" s="140"/>
      <c r="C302" s="254" t="s">
        <v>104</v>
      </c>
      <c r="D302" s="254"/>
      <c r="E302" s="254"/>
      <c r="F302" s="254"/>
      <c r="G302" s="254"/>
      <c r="H302" s="254"/>
      <c r="I302" s="254"/>
      <c r="J302" s="140"/>
      <c r="K302" s="140"/>
      <c r="L302" s="140"/>
      <c r="M302" s="82"/>
    </row>
    <row r="303" spans="1:13" ht="16.5">
      <c r="A303" s="256" t="s">
        <v>105</v>
      </c>
      <c r="B303" s="256"/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82"/>
    </row>
    <row r="304" spans="1:13" ht="16.5">
      <c r="A304" s="256" t="s">
        <v>106</v>
      </c>
      <c r="B304" s="256"/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82"/>
    </row>
    <row r="305" spans="1:13" ht="16.5">
      <c r="A305" s="256" t="s">
        <v>107</v>
      </c>
      <c r="B305" s="256"/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82"/>
    </row>
    <row r="306" spans="1:13" ht="15.75">
      <c r="A306" s="257" t="s">
        <v>240</v>
      </c>
      <c r="B306" s="257"/>
      <c r="C306" s="257"/>
      <c r="D306" s="257"/>
      <c r="E306" s="257"/>
      <c r="F306" s="257"/>
      <c r="G306" s="257"/>
      <c r="H306" s="257"/>
      <c r="I306" s="257"/>
      <c r="J306" s="257"/>
      <c r="K306" s="257"/>
      <c r="L306" s="257"/>
      <c r="M306" s="82"/>
    </row>
    <row r="307" spans="1:13">
      <c r="A307" s="245" t="s">
        <v>0</v>
      </c>
      <c r="B307" s="247" t="s">
        <v>108</v>
      </c>
      <c r="C307" s="249" t="s">
        <v>109</v>
      </c>
      <c r="D307" s="249"/>
      <c r="E307" s="247" t="s">
        <v>110</v>
      </c>
      <c r="F307" s="250" t="s">
        <v>111</v>
      </c>
      <c r="G307" s="251"/>
      <c r="H307" s="251"/>
      <c r="I307" s="251"/>
      <c r="J307" s="251"/>
      <c r="K307" s="251"/>
      <c r="L307" s="252"/>
      <c r="M307" s="247" t="s">
        <v>57</v>
      </c>
    </row>
    <row r="308" spans="1:13" ht="42">
      <c r="A308" s="246"/>
      <c r="B308" s="248"/>
      <c r="C308" s="84" t="s">
        <v>112</v>
      </c>
      <c r="D308" s="84" t="s">
        <v>113</v>
      </c>
      <c r="E308" s="248"/>
      <c r="F308" s="84" t="s">
        <v>114</v>
      </c>
      <c r="G308" s="85" t="s">
        <v>115</v>
      </c>
      <c r="H308" s="85" t="s">
        <v>116</v>
      </c>
      <c r="I308" s="84" t="s">
        <v>117</v>
      </c>
      <c r="J308" s="84" t="s">
        <v>118</v>
      </c>
      <c r="K308" s="84" t="s">
        <v>119</v>
      </c>
      <c r="L308" s="84" t="s">
        <v>120</v>
      </c>
      <c r="M308" s="248"/>
    </row>
    <row r="309" spans="1:13">
      <c r="A309" s="86">
        <v>1</v>
      </c>
      <c r="B309" s="86">
        <v>2</v>
      </c>
      <c r="C309" s="86">
        <v>3</v>
      </c>
      <c r="D309" s="86"/>
      <c r="E309" s="86">
        <v>4</v>
      </c>
      <c r="F309" s="86">
        <v>5</v>
      </c>
      <c r="G309" s="86">
        <v>6</v>
      </c>
      <c r="H309" s="86">
        <v>7</v>
      </c>
      <c r="I309" s="86">
        <v>8</v>
      </c>
      <c r="J309" s="86">
        <v>9</v>
      </c>
      <c r="K309" s="86">
        <v>10</v>
      </c>
      <c r="L309" s="86">
        <v>11</v>
      </c>
      <c r="M309" s="86">
        <v>12</v>
      </c>
    </row>
    <row r="310" spans="1:13">
      <c r="A310" s="87"/>
      <c r="B310" s="88" t="s">
        <v>110</v>
      </c>
      <c r="C310" s="87"/>
      <c r="D310" s="87"/>
      <c r="E310" s="89">
        <f>E311+E348+E350</f>
        <v>304483829.07570004</v>
      </c>
      <c r="F310" s="89">
        <f>F311+F348+F350</f>
        <v>300975429.07570004</v>
      </c>
      <c r="G310" s="89">
        <f t="shared" ref="G310:J310" si="19">G311+G348+G350</f>
        <v>3508400</v>
      </c>
      <c r="H310" s="89">
        <f t="shared" si="19"/>
        <v>0</v>
      </c>
      <c r="I310" s="89">
        <f t="shared" si="19"/>
        <v>0</v>
      </c>
      <c r="J310" s="89">
        <f t="shared" si="19"/>
        <v>0</v>
      </c>
      <c r="K310" s="87"/>
      <c r="L310" s="87"/>
      <c r="M310" s="87"/>
    </row>
    <row r="311" spans="1:13">
      <c r="A311" s="90" t="s">
        <v>121</v>
      </c>
      <c r="B311" s="88" t="s">
        <v>122</v>
      </c>
      <c r="C311" s="87"/>
      <c r="D311" s="87"/>
      <c r="E311" s="89">
        <f>SUM(E312:E347)</f>
        <v>300975429.07570004</v>
      </c>
      <c r="F311" s="89">
        <f>SUM(F312:F347)</f>
        <v>300975429.07570004</v>
      </c>
      <c r="G311" s="89">
        <f t="shared" ref="G311:J311" si="20">SUM(G312:G347)</f>
        <v>0</v>
      </c>
      <c r="H311" s="89">
        <f t="shared" si="20"/>
        <v>0</v>
      </c>
      <c r="I311" s="89">
        <f t="shared" si="20"/>
        <v>0</v>
      </c>
      <c r="J311" s="89">
        <f t="shared" si="20"/>
        <v>0</v>
      </c>
      <c r="K311" s="87"/>
      <c r="L311" s="87"/>
      <c r="M311" s="87"/>
    </row>
    <row r="312" spans="1:13" ht="15.75">
      <c r="A312" s="87">
        <v>1</v>
      </c>
      <c r="B312" s="91" t="s">
        <v>60</v>
      </c>
      <c r="C312" s="92">
        <v>4002205008058</v>
      </c>
      <c r="D312" s="93" t="s">
        <v>123</v>
      </c>
      <c r="E312" s="94">
        <f>SUM(F312:L312)</f>
        <v>11379448.859999999</v>
      </c>
      <c r="F312" s="95">
        <v>11379448.859999999</v>
      </c>
      <c r="G312" s="87"/>
      <c r="H312" s="87"/>
      <c r="I312" s="87"/>
      <c r="J312" s="94"/>
      <c r="K312" s="87"/>
      <c r="L312" s="87"/>
      <c r="M312" s="87"/>
    </row>
    <row r="313" spans="1:13" ht="15.75">
      <c r="A313" s="87">
        <v>2</v>
      </c>
      <c r="B313" s="96" t="s">
        <v>28</v>
      </c>
      <c r="C313" s="92">
        <v>4002215013939</v>
      </c>
      <c r="D313" s="93" t="s">
        <v>123</v>
      </c>
      <c r="E313" s="94">
        <f t="shared" ref="E313:E322" si="21">SUM(F313:L313)</f>
        <v>11229448.712400002</v>
      </c>
      <c r="F313" s="95">
        <v>11229448.712400002</v>
      </c>
      <c r="G313" s="87"/>
      <c r="H313" s="87"/>
      <c r="I313" s="87"/>
      <c r="J313" s="94"/>
      <c r="K313" s="87"/>
      <c r="L313" s="87"/>
      <c r="M313" s="87"/>
    </row>
    <row r="314" spans="1:13" ht="15.75">
      <c r="A314" s="87">
        <v>3</v>
      </c>
      <c r="B314" s="96" t="s">
        <v>30</v>
      </c>
      <c r="C314" s="92">
        <v>4002205008353</v>
      </c>
      <c r="D314" s="93" t="s">
        <v>123</v>
      </c>
      <c r="E314" s="94">
        <f t="shared" si="21"/>
        <v>11057510.52</v>
      </c>
      <c r="F314" s="95">
        <v>11057510.52</v>
      </c>
      <c r="G314" s="87"/>
      <c r="H314" s="87"/>
      <c r="I314" s="87"/>
      <c r="J314" s="94"/>
      <c r="K314" s="87"/>
      <c r="L314" s="87"/>
      <c r="M314" s="87"/>
    </row>
    <row r="315" spans="1:13" ht="15.75">
      <c r="A315" s="87">
        <v>4</v>
      </c>
      <c r="B315" s="96" t="s">
        <v>32</v>
      </c>
      <c r="C315" s="92">
        <v>4002205007706</v>
      </c>
      <c r="D315" s="93" t="s">
        <v>123</v>
      </c>
      <c r="E315" s="94">
        <f t="shared" si="21"/>
        <v>11331769.828500003</v>
      </c>
      <c r="F315" s="95">
        <v>11331769.828500003</v>
      </c>
      <c r="G315" s="97"/>
      <c r="H315" s="87"/>
      <c r="I315" s="87"/>
      <c r="J315" s="94"/>
      <c r="K315" s="87"/>
      <c r="L315" s="87"/>
      <c r="M315" s="87"/>
    </row>
    <row r="316" spans="1:13" ht="15.75">
      <c r="A316" s="87">
        <v>5</v>
      </c>
      <c r="B316" s="96" t="s">
        <v>124</v>
      </c>
      <c r="C316" s="92">
        <v>4002205007577</v>
      </c>
      <c r="D316" s="93" t="s">
        <v>123</v>
      </c>
      <c r="E316" s="94">
        <f t="shared" si="21"/>
        <v>11727965.849800002</v>
      </c>
      <c r="F316" s="95">
        <v>11727965.849800002</v>
      </c>
      <c r="G316" s="87"/>
      <c r="H316" s="87"/>
      <c r="I316" s="87"/>
      <c r="J316" s="94"/>
      <c r="K316" s="87"/>
      <c r="L316" s="87"/>
      <c r="M316" s="87"/>
    </row>
    <row r="317" spans="1:13" ht="15.75">
      <c r="A317" s="87">
        <v>6</v>
      </c>
      <c r="B317" s="96" t="s">
        <v>84</v>
      </c>
      <c r="C317" s="92">
        <v>4002205099727</v>
      </c>
      <c r="D317" s="93" t="s">
        <v>123</v>
      </c>
      <c r="E317" s="94">
        <f t="shared" si="21"/>
        <v>10096917.949999999</v>
      </c>
      <c r="F317" s="95">
        <v>10096917.949999999</v>
      </c>
      <c r="G317" s="87"/>
      <c r="H317" s="87"/>
      <c r="I317" s="87"/>
      <c r="J317" s="94"/>
      <c r="K317" s="87"/>
      <c r="L317" s="87"/>
      <c r="M317" s="87"/>
    </row>
    <row r="318" spans="1:13" ht="15.75">
      <c r="A318" s="87">
        <v>7</v>
      </c>
      <c r="B318" s="96" t="s">
        <v>31</v>
      </c>
      <c r="C318" s="98">
        <v>4002215005454</v>
      </c>
      <c r="D318" s="93" t="s">
        <v>123</v>
      </c>
      <c r="E318" s="94">
        <f t="shared" si="21"/>
        <v>10467575.564999999</v>
      </c>
      <c r="F318" s="95">
        <v>10467575.564999999</v>
      </c>
      <c r="G318" s="87"/>
      <c r="H318" s="87"/>
      <c r="I318" s="87"/>
      <c r="J318" s="94"/>
      <c r="K318" s="87"/>
      <c r="L318" s="87"/>
      <c r="M318" s="87"/>
    </row>
    <row r="319" spans="1:13" ht="15.75">
      <c r="A319" s="87">
        <v>8</v>
      </c>
      <c r="B319" s="96" t="s">
        <v>125</v>
      </c>
      <c r="C319" s="92">
        <v>4002215005369</v>
      </c>
      <c r="D319" s="93" t="s">
        <v>123</v>
      </c>
      <c r="E319" s="94">
        <f t="shared" si="21"/>
        <v>9643779.1500000004</v>
      </c>
      <c r="F319" s="95">
        <v>9643779.1500000004</v>
      </c>
      <c r="G319" s="87"/>
      <c r="H319" s="87"/>
      <c r="I319" s="87"/>
      <c r="J319" s="94"/>
      <c r="K319" s="87"/>
      <c r="L319" s="87"/>
      <c r="M319" s="87"/>
    </row>
    <row r="320" spans="1:13" ht="15.75">
      <c r="A320" s="87">
        <v>9</v>
      </c>
      <c r="B320" s="96" t="s">
        <v>33</v>
      </c>
      <c r="C320" s="98">
        <v>4002215013980</v>
      </c>
      <c r="D320" s="93" t="s">
        <v>123</v>
      </c>
      <c r="E320" s="94">
        <f t="shared" si="21"/>
        <v>9993888.1750000007</v>
      </c>
      <c r="F320" s="95">
        <v>9993888.1750000007</v>
      </c>
      <c r="G320" s="97"/>
      <c r="H320" s="87"/>
      <c r="I320" s="87"/>
      <c r="J320" s="94"/>
      <c r="K320" s="87"/>
      <c r="L320" s="87"/>
      <c r="M320" s="87"/>
    </row>
    <row r="321" spans="1:13" ht="15.75">
      <c r="A321" s="87">
        <v>10</v>
      </c>
      <c r="B321" s="96" t="s">
        <v>34</v>
      </c>
      <c r="C321" s="92">
        <v>4002215014006</v>
      </c>
      <c r="D321" s="93" t="s">
        <v>123</v>
      </c>
      <c r="E321" s="94">
        <f t="shared" si="21"/>
        <v>8728944.4800000004</v>
      </c>
      <c r="F321" s="95">
        <v>8728944.4800000004</v>
      </c>
      <c r="G321" s="87"/>
      <c r="H321" s="87"/>
      <c r="I321" s="87"/>
      <c r="J321" s="94"/>
      <c r="K321" s="87"/>
      <c r="L321" s="87"/>
      <c r="M321" s="87"/>
    </row>
    <row r="322" spans="1:13" ht="15.75">
      <c r="A322" s="87">
        <v>11</v>
      </c>
      <c r="B322" s="99" t="s">
        <v>36</v>
      </c>
      <c r="C322" s="98">
        <v>4002215020718</v>
      </c>
      <c r="D322" s="93" t="s">
        <v>123</v>
      </c>
      <c r="E322" s="94">
        <f t="shared" si="21"/>
        <v>9253615.1999999993</v>
      </c>
      <c r="F322" s="95">
        <v>9253615.1999999993</v>
      </c>
      <c r="G322" s="87"/>
      <c r="H322" s="87"/>
      <c r="I322" s="87"/>
      <c r="J322" s="94"/>
      <c r="K322" s="87"/>
      <c r="L322" s="87"/>
      <c r="M322" s="87"/>
    </row>
    <row r="323" spans="1:13" ht="15.75">
      <c r="A323" s="87">
        <v>12</v>
      </c>
      <c r="B323" s="96" t="s">
        <v>59</v>
      </c>
      <c r="C323" s="92">
        <v>4002215018587</v>
      </c>
      <c r="D323" s="93" t="s">
        <v>123</v>
      </c>
      <c r="E323" s="94">
        <f>SUM(F323:L323)</f>
        <v>6109968.4999999991</v>
      </c>
      <c r="F323" s="95">
        <v>6109968.4999999991</v>
      </c>
      <c r="G323" s="97"/>
      <c r="H323" s="87"/>
      <c r="I323" s="87"/>
      <c r="J323" s="94"/>
      <c r="K323" s="87"/>
      <c r="L323" s="87"/>
      <c r="M323" s="87"/>
    </row>
    <row r="324" spans="1:13" ht="15.75">
      <c r="A324" s="87">
        <v>13</v>
      </c>
      <c r="B324" s="96" t="s">
        <v>126</v>
      </c>
      <c r="C324" s="98">
        <v>4002215013945</v>
      </c>
      <c r="D324" s="93" t="s">
        <v>123</v>
      </c>
      <c r="E324" s="94">
        <f t="shared" ref="E324:E328" si="22">SUM(F324:L324)</f>
        <v>8844163.1999999993</v>
      </c>
      <c r="F324" s="95">
        <v>8844163.1999999993</v>
      </c>
      <c r="G324" s="87"/>
      <c r="H324" s="87"/>
      <c r="I324" s="87"/>
      <c r="J324" s="94"/>
      <c r="K324" s="87"/>
      <c r="L324" s="87"/>
      <c r="M324" s="87"/>
    </row>
    <row r="325" spans="1:13" ht="15.75">
      <c r="A325" s="87">
        <v>14</v>
      </c>
      <c r="B325" s="96" t="s">
        <v>37</v>
      </c>
      <c r="C325" s="98">
        <v>4002205015211</v>
      </c>
      <c r="D325" s="93" t="s">
        <v>123</v>
      </c>
      <c r="E325" s="94">
        <f t="shared" si="22"/>
        <v>8844163.1999999993</v>
      </c>
      <c r="F325" s="95">
        <v>8844163.1999999993</v>
      </c>
      <c r="G325" s="87"/>
      <c r="H325" s="87"/>
      <c r="I325" s="87"/>
      <c r="J325" s="94"/>
      <c r="K325" s="87"/>
      <c r="L325" s="87"/>
      <c r="M325" s="87"/>
    </row>
    <row r="326" spans="1:13" ht="15.75">
      <c r="A326" s="87">
        <v>15</v>
      </c>
      <c r="B326" s="96" t="s">
        <v>127</v>
      </c>
      <c r="C326" s="92">
        <v>4002215013793</v>
      </c>
      <c r="D326" s="93" t="s">
        <v>123</v>
      </c>
      <c r="E326" s="94">
        <f t="shared" si="22"/>
        <v>8786553.8400000017</v>
      </c>
      <c r="F326" s="95">
        <v>8786553.8400000017</v>
      </c>
      <c r="G326" s="87"/>
      <c r="H326" s="87"/>
      <c r="I326" s="87"/>
      <c r="J326" s="94"/>
      <c r="K326" s="87"/>
      <c r="L326" s="87"/>
      <c r="M326" s="87"/>
    </row>
    <row r="327" spans="1:13" ht="15.75">
      <c r="A327" s="87">
        <v>16</v>
      </c>
      <c r="B327" s="96" t="s">
        <v>38</v>
      </c>
      <c r="C327" s="98">
        <v>4002215013895</v>
      </c>
      <c r="D327" s="93" t="s">
        <v>123</v>
      </c>
      <c r="E327" s="94">
        <f t="shared" si="22"/>
        <v>8728944.4800000004</v>
      </c>
      <c r="F327" s="95">
        <v>8728944.4800000004</v>
      </c>
      <c r="G327" s="87"/>
      <c r="H327" s="87"/>
      <c r="I327" s="87"/>
      <c r="J327" s="94"/>
      <c r="K327" s="87"/>
      <c r="L327" s="87"/>
      <c r="M327" s="87"/>
    </row>
    <row r="328" spans="1:13" ht="15.75">
      <c r="A328" s="87">
        <v>17</v>
      </c>
      <c r="B328" s="96" t="s">
        <v>128</v>
      </c>
      <c r="C328" s="98">
        <v>4002215005483</v>
      </c>
      <c r="D328" s="93" t="s">
        <v>123</v>
      </c>
      <c r="E328" s="94">
        <f t="shared" si="22"/>
        <v>8728944.4800000004</v>
      </c>
      <c r="F328" s="95">
        <v>8728944.4800000004</v>
      </c>
      <c r="G328" s="87"/>
      <c r="H328" s="87"/>
      <c r="I328" s="87"/>
      <c r="J328" s="94"/>
      <c r="K328" s="87"/>
      <c r="L328" s="87"/>
      <c r="M328" s="87"/>
    </row>
    <row r="329" spans="1:13" ht="15.75">
      <c r="A329" s="87">
        <v>18</v>
      </c>
      <c r="B329" s="96" t="s">
        <v>91</v>
      </c>
      <c r="C329" s="100">
        <v>4001205046288</v>
      </c>
      <c r="D329" s="93" t="s">
        <v>129</v>
      </c>
      <c r="E329" s="94">
        <f>SUM(F329:L329)</f>
        <v>9091642.5150000025</v>
      </c>
      <c r="F329" s="101">
        <v>9091642.5150000025</v>
      </c>
      <c r="G329" s="87"/>
      <c r="H329" s="87"/>
      <c r="I329" s="87"/>
      <c r="J329" s="94"/>
      <c r="K329" s="87"/>
      <c r="L329" s="87"/>
      <c r="M329" s="87"/>
    </row>
    <row r="330" spans="1:13" ht="15.75">
      <c r="A330" s="87">
        <v>19</v>
      </c>
      <c r="B330" s="99" t="s">
        <v>39</v>
      </c>
      <c r="C330" s="98">
        <v>4002205007627</v>
      </c>
      <c r="D330" s="93" t="s">
        <v>123</v>
      </c>
      <c r="E330" s="94">
        <f t="shared" ref="E330:E347" si="23">SUM(F330:L330)</f>
        <v>8901772.5600000005</v>
      </c>
      <c r="F330" s="95">
        <v>8901772.5600000005</v>
      </c>
      <c r="G330" s="87"/>
      <c r="H330" s="87"/>
      <c r="I330" s="87"/>
      <c r="J330" s="94"/>
      <c r="K330" s="87"/>
      <c r="L330" s="87"/>
      <c r="M330" s="87"/>
    </row>
    <row r="331" spans="1:13" ht="15.75">
      <c r="A331" s="87">
        <v>20</v>
      </c>
      <c r="B331" s="96" t="s">
        <v>40</v>
      </c>
      <c r="C331" s="98">
        <v>4002205008006</v>
      </c>
      <c r="D331" s="93" t="s">
        <v>123</v>
      </c>
      <c r="E331" s="94">
        <f t="shared" si="23"/>
        <v>8304620.7900000019</v>
      </c>
      <c r="F331" s="95">
        <v>8304620.7900000019</v>
      </c>
      <c r="G331" s="87"/>
      <c r="H331" s="87"/>
      <c r="I331" s="87"/>
      <c r="J331" s="94"/>
      <c r="K331" s="87"/>
      <c r="L331" s="87"/>
      <c r="M331" s="87"/>
    </row>
    <row r="332" spans="1:13" ht="15.75">
      <c r="A332" s="87">
        <v>21</v>
      </c>
      <c r="B332" s="96" t="s">
        <v>130</v>
      </c>
      <c r="C332" s="102">
        <v>4002215013808</v>
      </c>
      <c r="D332" s="93" t="s">
        <v>123</v>
      </c>
      <c r="E332" s="94">
        <f t="shared" si="23"/>
        <v>8008941.4649999999</v>
      </c>
      <c r="F332" s="95">
        <v>8008941.4649999999</v>
      </c>
      <c r="G332" s="87"/>
      <c r="H332" s="87"/>
      <c r="I332" s="87"/>
      <c r="J332" s="94"/>
      <c r="K332" s="87"/>
      <c r="L332" s="87"/>
      <c r="M332" s="87"/>
    </row>
    <row r="333" spans="1:13" ht="15.75">
      <c r="A333" s="87">
        <v>22</v>
      </c>
      <c r="B333" s="99" t="s">
        <v>41</v>
      </c>
      <c r="C333" s="98">
        <v>4002215005490</v>
      </c>
      <c r="D333" s="93" t="s">
        <v>123</v>
      </c>
      <c r="E333" s="94">
        <f t="shared" si="23"/>
        <v>8008941.4649999999</v>
      </c>
      <c r="F333" s="95">
        <v>8008941.4649999999</v>
      </c>
      <c r="G333" s="97"/>
      <c r="H333" s="87"/>
      <c r="I333" s="87"/>
      <c r="J333" s="94"/>
      <c r="K333" s="87"/>
      <c r="L333" s="87"/>
      <c r="M333" s="87"/>
    </row>
    <row r="334" spans="1:13" ht="15.75">
      <c r="A334" s="87">
        <v>23</v>
      </c>
      <c r="B334" s="99" t="s">
        <v>42</v>
      </c>
      <c r="C334" s="98">
        <v>4002215005425</v>
      </c>
      <c r="D334" s="93" t="s">
        <v>123</v>
      </c>
      <c r="E334" s="94">
        <f t="shared" si="23"/>
        <v>8157941.4649999999</v>
      </c>
      <c r="F334" s="95">
        <v>8157941.4649999999</v>
      </c>
      <c r="G334" s="87"/>
      <c r="H334" s="87"/>
      <c r="I334" s="87"/>
      <c r="J334" s="94"/>
      <c r="K334" s="87"/>
      <c r="L334" s="87"/>
      <c r="M334" s="87"/>
    </row>
    <row r="335" spans="1:13">
      <c r="A335" s="87">
        <v>24</v>
      </c>
      <c r="B335" s="87" t="s">
        <v>131</v>
      </c>
      <c r="C335" s="92">
        <v>4002215005280</v>
      </c>
      <c r="D335" s="93" t="s">
        <v>123</v>
      </c>
      <c r="E335" s="94">
        <f t="shared" si="23"/>
        <v>7955732.8200000003</v>
      </c>
      <c r="F335" s="95">
        <v>7955732.8200000003</v>
      </c>
      <c r="G335" s="87"/>
      <c r="H335" s="87"/>
      <c r="I335" s="87"/>
      <c r="J335" s="94"/>
      <c r="K335" s="87"/>
      <c r="L335" s="87"/>
      <c r="M335" s="87"/>
    </row>
    <row r="336" spans="1:13" ht="15.75">
      <c r="A336" s="87">
        <v>25</v>
      </c>
      <c r="B336" s="96" t="s">
        <v>43</v>
      </c>
      <c r="C336" s="92">
        <v>4002215024731</v>
      </c>
      <c r="D336" s="93" t="s">
        <v>123</v>
      </c>
      <c r="E336" s="94">
        <f t="shared" si="23"/>
        <v>7955732.8200000003</v>
      </c>
      <c r="F336" s="95">
        <v>7955732.8200000003</v>
      </c>
      <c r="G336" s="87"/>
      <c r="H336" s="87"/>
      <c r="I336" s="87"/>
      <c r="J336" s="94"/>
      <c r="K336" s="87"/>
      <c r="L336" s="87"/>
      <c r="M336" s="87"/>
    </row>
    <row r="337" spans="1:13" ht="15.75">
      <c r="A337" s="87">
        <v>26</v>
      </c>
      <c r="B337" s="96" t="s">
        <v>58</v>
      </c>
      <c r="C337" s="98">
        <v>4002205100941</v>
      </c>
      <c r="D337" s="93" t="s">
        <v>123</v>
      </c>
      <c r="E337" s="94">
        <f t="shared" si="23"/>
        <v>6417710.8649999993</v>
      </c>
      <c r="F337" s="95">
        <v>6417710.8649999993</v>
      </c>
      <c r="G337" s="87"/>
      <c r="H337" s="87"/>
      <c r="I337" s="87"/>
      <c r="J337" s="94"/>
      <c r="K337" s="87"/>
      <c r="L337" s="87"/>
      <c r="M337" s="87"/>
    </row>
    <row r="338" spans="1:13" ht="15.75">
      <c r="A338" s="87">
        <v>27</v>
      </c>
      <c r="B338" s="96" t="s">
        <v>44</v>
      </c>
      <c r="C338" s="92">
        <v>4002205008330</v>
      </c>
      <c r="D338" s="93" t="s">
        <v>123</v>
      </c>
      <c r="E338" s="94">
        <f t="shared" si="23"/>
        <v>7902524.1749999998</v>
      </c>
      <c r="F338" s="95">
        <v>7902524.1749999998</v>
      </c>
      <c r="G338" s="97"/>
      <c r="H338" s="87"/>
      <c r="I338" s="87"/>
      <c r="J338" s="94"/>
      <c r="K338" s="87"/>
      <c r="L338" s="87"/>
      <c r="M338" s="87"/>
    </row>
    <row r="339" spans="1:13">
      <c r="A339" s="87">
        <v>28</v>
      </c>
      <c r="B339" s="87" t="s">
        <v>132</v>
      </c>
      <c r="C339" s="100">
        <v>4002215005323</v>
      </c>
      <c r="D339" s="93" t="s">
        <v>123</v>
      </c>
      <c r="E339" s="94">
        <f t="shared" si="23"/>
        <v>4814116</v>
      </c>
      <c r="F339" s="104">
        <v>4814116</v>
      </c>
      <c r="G339" s="87"/>
      <c r="H339" s="87"/>
      <c r="I339" s="87"/>
      <c r="J339" s="94"/>
      <c r="K339" s="87"/>
      <c r="L339" s="87"/>
      <c r="M339" s="120" t="s">
        <v>244</v>
      </c>
    </row>
    <row r="340" spans="1:13" ht="15.75">
      <c r="A340" s="87">
        <v>29</v>
      </c>
      <c r="B340" s="99" t="s">
        <v>46</v>
      </c>
      <c r="C340" s="105">
        <v>4002215005510</v>
      </c>
      <c r="D340" s="93" t="s">
        <v>123</v>
      </c>
      <c r="E340" s="94">
        <f t="shared" si="23"/>
        <v>7815646</v>
      </c>
      <c r="F340" s="104">
        <v>7815646</v>
      </c>
      <c r="G340" s="87"/>
      <c r="H340" s="87"/>
      <c r="I340" s="87"/>
      <c r="J340" s="94"/>
      <c r="K340" s="87"/>
      <c r="L340" s="87"/>
      <c r="M340" s="87"/>
    </row>
    <row r="341" spans="1:13" ht="15.75">
      <c r="A341" s="87">
        <v>30</v>
      </c>
      <c r="B341" s="96" t="s">
        <v>47</v>
      </c>
      <c r="C341" s="98">
        <v>4002215013889</v>
      </c>
      <c r="D341" s="93" t="s">
        <v>123</v>
      </c>
      <c r="E341" s="94">
        <f t="shared" si="23"/>
        <v>7902524.1749999998</v>
      </c>
      <c r="F341" s="104">
        <v>7902524.1749999998</v>
      </c>
      <c r="G341" s="87"/>
      <c r="H341" s="87"/>
      <c r="I341" s="87"/>
      <c r="J341" s="94"/>
      <c r="K341" s="87"/>
      <c r="L341" s="87"/>
      <c r="M341" s="87"/>
    </row>
    <row r="342" spans="1:13" ht="15.75">
      <c r="A342" s="87">
        <v>31</v>
      </c>
      <c r="B342" s="96" t="s">
        <v>48</v>
      </c>
      <c r="C342" s="92">
        <v>4002215005346</v>
      </c>
      <c r="D342" s="93" t="s">
        <v>123</v>
      </c>
      <c r="E342" s="94">
        <f t="shared" si="23"/>
        <v>7151316.0900000008</v>
      </c>
      <c r="F342" s="104">
        <v>7151316.0900000008</v>
      </c>
      <c r="G342" s="87"/>
      <c r="H342" s="87"/>
      <c r="I342" s="87"/>
      <c r="J342" s="94"/>
      <c r="K342" s="87"/>
      <c r="L342" s="87"/>
      <c r="M342" s="87"/>
    </row>
    <row r="343" spans="1:13" ht="15.75">
      <c r="A343" s="87">
        <v>32</v>
      </c>
      <c r="B343" s="96" t="s">
        <v>92</v>
      </c>
      <c r="C343" s="98">
        <v>4002215021438</v>
      </c>
      <c r="D343" s="93" t="s">
        <v>123</v>
      </c>
      <c r="E343" s="94">
        <f t="shared" si="23"/>
        <v>6373303.6500000004</v>
      </c>
      <c r="F343" s="104">
        <v>6373303.6500000004</v>
      </c>
      <c r="G343" s="87"/>
      <c r="H343" s="87"/>
      <c r="I343" s="87"/>
      <c r="J343" s="94"/>
      <c r="K343" s="87"/>
      <c r="L343" s="87"/>
      <c r="M343" s="87"/>
    </row>
    <row r="344" spans="1:13" ht="15.75">
      <c r="A344" s="87">
        <v>33</v>
      </c>
      <c r="B344" s="96" t="s">
        <v>93</v>
      </c>
      <c r="C344" s="98">
        <v>4002205007265</v>
      </c>
      <c r="D344" s="93" t="s">
        <v>123</v>
      </c>
      <c r="E344" s="94">
        <f t="shared" si="23"/>
        <v>7053700.2299999986</v>
      </c>
      <c r="F344" s="104">
        <v>7053700.2299999986</v>
      </c>
      <c r="G344" s="87"/>
      <c r="H344" s="87"/>
      <c r="I344" s="87"/>
      <c r="J344" s="94"/>
      <c r="K344" s="87"/>
      <c r="L344" s="87"/>
      <c r="M344" s="87"/>
    </row>
    <row r="345" spans="1:13" ht="15" customHeight="1">
      <c r="A345" s="87">
        <v>34</v>
      </c>
      <c r="B345" s="96" t="s">
        <v>95</v>
      </c>
      <c r="C345" s="100">
        <v>4009205061263</v>
      </c>
      <c r="D345" s="106" t="s">
        <v>133</v>
      </c>
      <c r="E345" s="104">
        <f t="shared" si="23"/>
        <v>5341650</v>
      </c>
      <c r="F345" s="104">
        <v>5341650</v>
      </c>
      <c r="G345" s="87"/>
      <c r="H345" s="87"/>
      <c r="I345" s="87"/>
      <c r="J345" s="94"/>
      <c r="K345" s="87"/>
      <c r="L345" s="87"/>
      <c r="M345" s="87"/>
    </row>
    <row r="346" spans="1:13" ht="15.75">
      <c r="A346" s="87">
        <v>35</v>
      </c>
      <c r="B346" s="96" t="s">
        <v>49</v>
      </c>
      <c r="C346" s="100">
        <v>4002215005330</v>
      </c>
      <c r="D346" s="93" t="s">
        <v>123</v>
      </c>
      <c r="E346" s="94">
        <f t="shared" si="23"/>
        <v>4752057</v>
      </c>
      <c r="F346" s="104">
        <v>4752057</v>
      </c>
      <c r="G346" s="87"/>
      <c r="H346" s="87"/>
      <c r="I346" s="87"/>
      <c r="J346" s="94"/>
      <c r="K346" s="87"/>
      <c r="L346" s="87"/>
      <c r="M346" s="87"/>
    </row>
    <row r="347" spans="1:13" ht="15.75">
      <c r="A347" s="87">
        <v>36</v>
      </c>
      <c r="B347" s="96" t="s">
        <v>50</v>
      </c>
      <c r="C347" s="100">
        <v>4002215013758</v>
      </c>
      <c r="D347" s="93" t="s">
        <v>123</v>
      </c>
      <c r="E347" s="94">
        <f t="shared" si="23"/>
        <v>4111953</v>
      </c>
      <c r="F347" s="104">
        <v>4111953</v>
      </c>
      <c r="G347" s="87"/>
      <c r="H347" s="87"/>
      <c r="I347" s="87"/>
      <c r="J347" s="94"/>
      <c r="K347" s="87"/>
      <c r="L347" s="87"/>
      <c r="M347" s="87"/>
    </row>
    <row r="348" spans="1:13">
      <c r="A348" s="90" t="s">
        <v>134</v>
      </c>
      <c r="B348" s="88" t="s">
        <v>135</v>
      </c>
      <c r="C348" s="107"/>
      <c r="D348" s="103"/>
      <c r="E348" s="89">
        <f>E349</f>
        <v>3508400</v>
      </c>
      <c r="F348" s="89"/>
      <c r="G348" s="89">
        <f>G349</f>
        <v>3508400</v>
      </c>
      <c r="H348" s="87"/>
      <c r="I348" s="87"/>
      <c r="J348" s="89"/>
      <c r="K348" s="87"/>
      <c r="L348" s="87"/>
      <c r="M348" s="87"/>
    </row>
    <row r="349" spans="1:13" ht="15.75">
      <c r="A349" s="87">
        <v>1</v>
      </c>
      <c r="B349" s="96" t="s">
        <v>51</v>
      </c>
      <c r="C349" s="100">
        <v>4002205034012</v>
      </c>
      <c r="D349" s="93" t="s">
        <v>123</v>
      </c>
      <c r="E349" s="108">
        <f>F349+G349+J349</f>
        <v>3508400</v>
      </c>
      <c r="F349" s="104"/>
      <c r="G349" s="104">
        <v>3508400</v>
      </c>
      <c r="H349" s="87"/>
      <c r="I349" s="87"/>
      <c r="J349" s="94"/>
      <c r="K349" s="87"/>
      <c r="L349" s="87"/>
      <c r="M349" s="87"/>
    </row>
    <row r="350" spans="1:13">
      <c r="A350" s="88" t="s">
        <v>136</v>
      </c>
      <c r="B350" s="109" t="s">
        <v>137</v>
      </c>
      <c r="C350" s="110"/>
      <c r="D350" s="87"/>
      <c r="E350" s="88">
        <v>0</v>
      </c>
      <c r="F350" s="88">
        <v>0</v>
      </c>
      <c r="G350" s="87"/>
      <c r="H350" s="87"/>
      <c r="I350" s="87"/>
      <c r="J350" s="94"/>
      <c r="K350" s="87"/>
      <c r="L350" s="87"/>
      <c r="M350" s="87"/>
    </row>
    <row r="351" spans="1:13" ht="17.25" customHeight="1">
      <c r="A351" s="260" t="s">
        <v>248</v>
      </c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</row>
    <row r="352" spans="1:13" ht="15.75">
      <c r="A352" s="111" t="s">
        <v>138</v>
      </c>
      <c r="B352" s="111"/>
      <c r="C352" s="111"/>
      <c r="D352" s="111"/>
      <c r="E352" s="111"/>
      <c r="F352" s="111"/>
      <c r="G352" s="111"/>
      <c r="H352" s="82"/>
      <c r="I352" s="82"/>
      <c r="J352" s="82"/>
      <c r="K352" s="82"/>
      <c r="L352" s="82"/>
      <c r="M352" s="82"/>
    </row>
    <row r="353" spans="1:15" ht="15.75">
      <c r="A353" s="112" t="s">
        <v>241</v>
      </c>
      <c r="B353" s="112"/>
      <c r="C353" s="113">
        <f>C196</f>
        <v>299669712.78090012</v>
      </c>
      <c r="D353" s="258" t="s">
        <v>245</v>
      </c>
      <c r="E353" s="258"/>
      <c r="F353" s="258"/>
      <c r="G353" s="258"/>
      <c r="H353" s="114"/>
      <c r="I353" s="114"/>
      <c r="J353" s="114"/>
      <c r="K353" s="114"/>
      <c r="L353" s="114"/>
      <c r="M353" s="82"/>
    </row>
    <row r="354" spans="1:15" ht="15.75">
      <c r="A354" s="242" t="s">
        <v>139</v>
      </c>
      <c r="B354" s="242"/>
      <c r="C354" s="115">
        <v>4814116</v>
      </c>
      <c r="D354" s="112" t="s">
        <v>243</v>
      </c>
      <c r="E354" s="112"/>
      <c r="F354" s="112"/>
      <c r="G354" s="117"/>
      <c r="H354" s="117"/>
      <c r="I354" s="117"/>
      <c r="J354" s="117"/>
      <c r="K354" s="117"/>
      <c r="L354" s="117"/>
      <c r="M354" s="82"/>
    </row>
    <row r="355" spans="1:15" ht="15.75">
      <c r="A355" s="242" t="s">
        <v>141</v>
      </c>
      <c r="B355" s="242"/>
      <c r="C355" s="8">
        <f>0</f>
        <v>0</v>
      </c>
      <c r="D355" s="112" t="s">
        <v>140</v>
      </c>
      <c r="E355" s="118"/>
      <c r="F355" s="114"/>
      <c r="G355" s="114"/>
      <c r="H355" s="114"/>
      <c r="I355" s="114"/>
      <c r="J355" s="114"/>
      <c r="K355" s="114"/>
      <c r="L355" s="114"/>
      <c r="M355" s="82"/>
    </row>
    <row r="356" spans="1:15">
      <c r="A356" s="112" t="s">
        <v>242</v>
      </c>
      <c r="B356" s="112"/>
      <c r="C356" s="119">
        <f>C353+C354-C355</f>
        <v>304483828.78090012</v>
      </c>
      <c r="D356" s="258" t="s">
        <v>246</v>
      </c>
      <c r="E356" s="258"/>
      <c r="F356" s="258"/>
      <c r="G356" s="258"/>
      <c r="H356" s="241"/>
      <c r="I356" s="241"/>
      <c r="J356" s="241"/>
      <c r="K356" s="241"/>
      <c r="L356" s="241"/>
      <c r="M356" s="241"/>
    </row>
    <row r="357" spans="1:15">
      <c r="A357" s="141"/>
      <c r="B357" s="141"/>
      <c r="C357" s="141"/>
      <c r="D357" s="141"/>
      <c r="E357" s="115"/>
      <c r="F357" s="82"/>
      <c r="G357" s="82"/>
      <c r="H357" s="241" t="s">
        <v>249</v>
      </c>
      <c r="I357" s="241"/>
      <c r="J357" s="241"/>
      <c r="K357" s="241"/>
      <c r="L357" s="241"/>
      <c r="M357" s="241"/>
    </row>
    <row r="358" spans="1:15" ht="15.75">
      <c r="A358" s="82"/>
      <c r="B358" s="82"/>
      <c r="C358" s="239" t="s">
        <v>142</v>
      </c>
      <c r="D358" s="239"/>
      <c r="E358" s="239" t="s">
        <v>79</v>
      </c>
      <c r="F358" s="239"/>
      <c r="G358" s="239"/>
      <c r="H358" s="239" t="s">
        <v>143</v>
      </c>
      <c r="I358" s="239"/>
      <c r="J358" s="239"/>
      <c r="K358" s="239"/>
      <c r="L358" s="239"/>
      <c r="M358" s="239"/>
    </row>
    <row r="359" spans="1:15">
      <c r="A359" s="82"/>
      <c r="B359" s="82"/>
      <c r="C359" s="242" t="s">
        <v>144</v>
      </c>
      <c r="D359" s="242"/>
      <c r="E359" s="242" t="s">
        <v>145</v>
      </c>
      <c r="F359" s="242"/>
      <c r="G359" s="242"/>
      <c r="H359" s="242" t="s">
        <v>146</v>
      </c>
      <c r="I359" s="242"/>
      <c r="J359" s="242"/>
      <c r="K359" s="242"/>
      <c r="L359" s="242"/>
      <c r="M359" s="242"/>
    </row>
    <row r="360" spans="1:15">
      <c r="A360" s="82"/>
      <c r="B360" s="82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</row>
    <row r="361" spans="1:1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</row>
    <row r="362" spans="1:1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</row>
    <row r="363" spans="1:1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</row>
    <row r="364" spans="1:15" ht="15.75">
      <c r="A364" s="82"/>
      <c r="B364" s="82"/>
      <c r="C364" s="239" t="s">
        <v>59</v>
      </c>
      <c r="D364" s="239"/>
      <c r="E364" s="239" t="s">
        <v>59</v>
      </c>
      <c r="F364" s="239"/>
      <c r="G364" s="239"/>
      <c r="H364" s="239" t="s">
        <v>60</v>
      </c>
      <c r="I364" s="239"/>
      <c r="J364" s="239"/>
      <c r="K364" s="239"/>
      <c r="L364" s="239"/>
      <c r="M364" s="239"/>
      <c r="O364">
        <f>12272000*5%</f>
        <v>613600</v>
      </c>
    </row>
    <row r="365" spans="1:15">
      <c r="A365" s="240" t="s">
        <v>147</v>
      </c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</row>
    <row r="366" spans="1:15">
      <c r="A366" s="82"/>
      <c r="B366" s="82"/>
      <c r="C366" s="82"/>
      <c r="D366" s="82"/>
      <c r="E366" s="82"/>
      <c r="F366" s="82"/>
      <c r="G366" s="241" t="s">
        <v>157</v>
      </c>
      <c r="H366" s="241"/>
      <c r="I366" s="241"/>
      <c r="J366" s="241"/>
      <c r="K366" s="241"/>
      <c r="L366" s="241"/>
      <c r="M366" s="241"/>
    </row>
    <row r="367" spans="1:15" ht="15.75">
      <c r="A367" s="82"/>
      <c r="B367" s="240" t="s">
        <v>148</v>
      </c>
      <c r="C367" s="240"/>
      <c r="D367" s="240"/>
      <c r="E367" s="240"/>
      <c r="F367" s="240"/>
      <c r="G367" s="239" t="s">
        <v>149</v>
      </c>
      <c r="H367" s="239"/>
      <c r="I367" s="239"/>
      <c r="J367" s="239"/>
      <c r="K367" s="239"/>
      <c r="L367" s="239"/>
      <c r="M367" s="239"/>
    </row>
    <row r="368" spans="1:15" ht="15.75">
      <c r="A368" s="82"/>
      <c r="B368" s="139"/>
      <c r="C368" s="139"/>
      <c r="D368" s="139"/>
      <c r="E368" s="139"/>
      <c r="F368" s="139"/>
      <c r="G368" s="137"/>
      <c r="H368" s="137"/>
      <c r="I368" s="137"/>
      <c r="J368" s="137"/>
      <c r="K368" s="137"/>
      <c r="L368" s="137"/>
      <c r="M368" s="137"/>
    </row>
    <row r="370" spans="1:13" ht="18.75">
      <c r="A370" s="253" t="s">
        <v>102</v>
      </c>
      <c r="B370" s="253"/>
      <c r="C370" s="253"/>
      <c r="D370" s="253"/>
      <c r="E370" s="253"/>
      <c r="F370" s="253"/>
      <c r="G370" s="253"/>
      <c r="H370" s="253"/>
      <c r="I370" s="253"/>
      <c r="J370" s="253"/>
      <c r="K370" s="242" t="s">
        <v>103</v>
      </c>
      <c r="L370" s="242"/>
      <c r="M370" s="81"/>
    </row>
    <row r="371" spans="1:13" ht="18.75">
      <c r="A371" s="254" t="s">
        <v>253</v>
      </c>
      <c r="B371" s="254"/>
      <c r="C371" s="254"/>
      <c r="D371" s="254"/>
      <c r="E371" s="254"/>
      <c r="F371" s="254"/>
      <c r="G371" s="254"/>
      <c r="H371" s="254"/>
      <c r="I371" s="254"/>
      <c r="J371" s="254"/>
      <c r="K371" s="255" t="s">
        <v>215</v>
      </c>
      <c r="L371" s="255"/>
      <c r="M371" s="82"/>
    </row>
    <row r="372" spans="1:13" ht="18.75">
      <c r="A372" s="148"/>
      <c r="B372" s="148"/>
      <c r="C372" s="254" t="s">
        <v>104</v>
      </c>
      <c r="D372" s="254"/>
      <c r="E372" s="254"/>
      <c r="F372" s="254"/>
      <c r="G372" s="254"/>
      <c r="H372" s="254"/>
      <c r="I372" s="254"/>
      <c r="J372" s="148"/>
      <c r="K372" s="148"/>
      <c r="L372" s="148"/>
      <c r="M372" s="82"/>
    </row>
    <row r="373" spans="1:13" ht="16.5">
      <c r="A373" s="256" t="s">
        <v>105</v>
      </c>
      <c r="B373" s="256"/>
      <c r="C373" s="256"/>
      <c r="D373" s="256"/>
      <c r="E373" s="256"/>
      <c r="F373" s="256"/>
      <c r="G373" s="256"/>
      <c r="H373" s="256"/>
      <c r="I373" s="256"/>
      <c r="J373" s="256"/>
      <c r="K373" s="256"/>
      <c r="L373" s="256"/>
      <c r="M373" s="82"/>
    </row>
    <row r="374" spans="1:13" ht="15" customHeight="1">
      <c r="A374" s="256" t="s">
        <v>106</v>
      </c>
      <c r="B374" s="256"/>
      <c r="C374" s="256"/>
      <c r="D374" s="256"/>
      <c r="E374" s="256"/>
      <c r="F374" s="256"/>
      <c r="G374" s="256"/>
      <c r="H374" s="256"/>
      <c r="I374" s="256"/>
      <c r="J374" s="256"/>
      <c r="K374" s="256"/>
      <c r="L374" s="256"/>
      <c r="M374" s="82"/>
    </row>
    <row r="375" spans="1:13" ht="16.5">
      <c r="A375" s="256" t="s">
        <v>107</v>
      </c>
      <c r="B375" s="256"/>
      <c r="C375" s="256"/>
      <c r="D375" s="256"/>
      <c r="E375" s="256"/>
      <c r="F375" s="256"/>
      <c r="G375" s="256"/>
      <c r="H375" s="256"/>
      <c r="I375" s="256"/>
      <c r="J375" s="256"/>
      <c r="K375" s="256"/>
      <c r="L375" s="256"/>
      <c r="M375" s="82"/>
    </row>
    <row r="376" spans="1:13" ht="15.75">
      <c r="A376" s="257" t="s">
        <v>254</v>
      </c>
      <c r="B376" s="257"/>
      <c r="C376" s="257"/>
      <c r="D376" s="257"/>
      <c r="E376" s="257"/>
      <c r="F376" s="257"/>
      <c r="G376" s="257"/>
      <c r="H376" s="257"/>
      <c r="I376" s="257"/>
      <c r="J376" s="257"/>
      <c r="K376" s="257"/>
      <c r="L376" s="257"/>
      <c r="M376" s="82"/>
    </row>
    <row r="377" spans="1:13">
      <c r="A377" s="245" t="s">
        <v>0</v>
      </c>
      <c r="B377" s="247" t="s">
        <v>108</v>
      </c>
      <c r="C377" s="249" t="s">
        <v>109</v>
      </c>
      <c r="D377" s="249"/>
      <c r="E377" s="247" t="s">
        <v>110</v>
      </c>
      <c r="F377" s="250" t="s">
        <v>111</v>
      </c>
      <c r="G377" s="251"/>
      <c r="H377" s="251"/>
      <c r="I377" s="251"/>
      <c r="J377" s="251"/>
      <c r="K377" s="251"/>
      <c r="L377" s="252"/>
      <c r="M377" s="247" t="s">
        <v>57</v>
      </c>
    </row>
    <row r="378" spans="1:13" ht="49.5" customHeight="1">
      <c r="A378" s="246"/>
      <c r="B378" s="248"/>
      <c r="C378" s="84" t="s">
        <v>112</v>
      </c>
      <c r="D378" s="84" t="s">
        <v>113</v>
      </c>
      <c r="E378" s="248"/>
      <c r="F378" s="84" t="s">
        <v>114</v>
      </c>
      <c r="G378" s="85" t="s">
        <v>115</v>
      </c>
      <c r="H378" s="85" t="s">
        <v>116</v>
      </c>
      <c r="I378" s="84" t="s">
        <v>117</v>
      </c>
      <c r="J378" s="84" t="s">
        <v>118</v>
      </c>
      <c r="K378" s="84" t="s">
        <v>119</v>
      </c>
      <c r="L378" s="84" t="s">
        <v>120</v>
      </c>
      <c r="M378" s="248"/>
    </row>
    <row r="379" spans="1:13" ht="11.25" customHeight="1">
      <c r="A379" s="86">
        <v>1</v>
      </c>
      <c r="B379" s="86">
        <v>2</v>
      </c>
      <c r="C379" s="86">
        <v>3</v>
      </c>
      <c r="D379" s="86"/>
      <c r="E379" s="86">
        <v>4</v>
      </c>
      <c r="F379" s="86">
        <v>5</v>
      </c>
      <c r="G379" s="86">
        <v>6</v>
      </c>
      <c r="H379" s="86">
        <v>7</v>
      </c>
      <c r="I379" s="86">
        <v>8</v>
      </c>
      <c r="J379" s="86">
        <v>9</v>
      </c>
      <c r="K379" s="86">
        <v>10</v>
      </c>
      <c r="L379" s="86">
        <v>11</v>
      </c>
      <c r="M379" s="86">
        <v>12</v>
      </c>
    </row>
    <row r="380" spans="1:13">
      <c r="A380" s="87"/>
      <c r="B380" s="88" t="s">
        <v>110</v>
      </c>
      <c r="C380" s="87"/>
      <c r="D380" s="87"/>
      <c r="E380" s="89">
        <f>E381+E418+E420</f>
        <v>306736358.61939996</v>
      </c>
      <c r="F380" s="89">
        <f>F381+F418+F420</f>
        <v>303227958.61939996</v>
      </c>
      <c r="G380" s="89">
        <f t="shared" ref="G380:J380" si="24">G381+G418+G420</f>
        <v>3508400</v>
      </c>
      <c r="H380" s="89">
        <f t="shared" si="24"/>
        <v>0</v>
      </c>
      <c r="I380" s="89">
        <f t="shared" si="24"/>
        <v>0</v>
      </c>
      <c r="J380" s="89">
        <f t="shared" si="24"/>
        <v>0</v>
      </c>
      <c r="K380" s="87"/>
      <c r="L380" s="87"/>
      <c r="M380" s="87"/>
    </row>
    <row r="381" spans="1:13">
      <c r="A381" s="90" t="s">
        <v>121</v>
      </c>
      <c r="B381" s="88" t="s">
        <v>122</v>
      </c>
      <c r="C381" s="87"/>
      <c r="D381" s="87"/>
      <c r="E381" s="89">
        <f>SUM(E382:E417)</f>
        <v>303227958.61939996</v>
      </c>
      <c r="F381" s="89">
        <f>SUM(F382:F417)</f>
        <v>303227958.61939996</v>
      </c>
      <c r="G381" s="89">
        <f t="shared" ref="G381:J381" si="25">SUM(G382:G417)</f>
        <v>0</v>
      </c>
      <c r="H381" s="89">
        <f t="shared" si="25"/>
        <v>0</v>
      </c>
      <c r="I381" s="89">
        <f t="shared" si="25"/>
        <v>0</v>
      </c>
      <c r="J381" s="89">
        <f t="shared" si="25"/>
        <v>0</v>
      </c>
      <c r="K381" s="87"/>
      <c r="L381" s="87"/>
      <c r="M381" s="87"/>
    </row>
    <row r="382" spans="1:13" ht="15.75">
      <c r="A382" s="87">
        <v>1</v>
      </c>
      <c r="B382" s="91" t="s">
        <v>60</v>
      </c>
      <c r="C382" s="92">
        <v>4002205008058</v>
      </c>
      <c r="D382" s="93" t="s">
        <v>123</v>
      </c>
      <c r="E382" s="94">
        <f>SUM(F382:L382)</f>
        <v>11379448.859999999</v>
      </c>
      <c r="F382" s="95">
        <v>11379448.859999999</v>
      </c>
      <c r="G382" s="87"/>
      <c r="H382" s="87"/>
      <c r="I382" s="87"/>
      <c r="J382" s="94"/>
      <c r="K382" s="87"/>
      <c r="L382" s="87"/>
      <c r="M382" s="87"/>
    </row>
    <row r="383" spans="1:13" ht="15.75">
      <c r="A383" s="87">
        <v>2</v>
      </c>
      <c r="B383" s="96" t="s">
        <v>28</v>
      </c>
      <c r="C383" s="92">
        <v>4002215013939</v>
      </c>
      <c r="D383" s="93" t="s">
        <v>123</v>
      </c>
      <c r="E383" s="94">
        <f t="shared" ref="E383:E392" si="26">SUM(F383:L383)</f>
        <v>11335386.907800004</v>
      </c>
      <c r="F383" s="95">
        <v>11335386.907800004</v>
      </c>
      <c r="G383" s="87"/>
      <c r="H383" s="87"/>
      <c r="I383" s="87"/>
      <c r="J383" s="94"/>
      <c r="K383" s="87"/>
      <c r="L383" s="87"/>
      <c r="M383" s="87" t="s">
        <v>258</v>
      </c>
    </row>
    <row r="384" spans="1:13" ht="15.75">
      <c r="A384" s="87">
        <v>3</v>
      </c>
      <c r="B384" s="96" t="s">
        <v>30</v>
      </c>
      <c r="C384" s="92">
        <v>4002205008353</v>
      </c>
      <c r="D384" s="93" t="s">
        <v>123</v>
      </c>
      <c r="E384" s="94">
        <f t="shared" si="26"/>
        <v>11057510.52</v>
      </c>
      <c r="F384" s="95">
        <v>11057510.52</v>
      </c>
      <c r="G384" s="87"/>
      <c r="H384" s="87"/>
      <c r="I384" s="87"/>
      <c r="J384" s="94"/>
      <c r="K384" s="87"/>
      <c r="L384" s="87"/>
      <c r="M384" s="87"/>
    </row>
    <row r="385" spans="1:13" ht="15.75">
      <c r="A385" s="87">
        <v>4</v>
      </c>
      <c r="B385" s="96" t="s">
        <v>32</v>
      </c>
      <c r="C385" s="92">
        <v>4002205007706</v>
      </c>
      <c r="D385" s="93" t="s">
        <v>123</v>
      </c>
      <c r="E385" s="94">
        <f t="shared" si="26"/>
        <v>11331769.828500003</v>
      </c>
      <c r="F385" s="95">
        <v>11331769.828500003</v>
      </c>
      <c r="G385" s="97"/>
      <c r="H385" s="87"/>
      <c r="I385" s="87"/>
      <c r="J385" s="94"/>
      <c r="K385" s="87"/>
      <c r="L385" s="87"/>
      <c r="M385" s="87"/>
    </row>
    <row r="386" spans="1:13" ht="15.75">
      <c r="A386" s="87">
        <v>5</v>
      </c>
      <c r="B386" s="96" t="s">
        <v>124</v>
      </c>
      <c r="C386" s="92">
        <v>4002205007577</v>
      </c>
      <c r="D386" s="93" t="s">
        <v>123</v>
      </c>
      <c r="E386" s="94">
        <f t="shared" si="26"/>
        <v>11834568.153100003</v>
      </c>
      <c r="F386" s="95">
        <v>11834568.153100003</v>
      </c>
      <c r="G386" s="87"/>
      <c r="H386" s="87"/>
      <c r="I386" s="87"/>
      <c r="J386" s="94"/>
      <c r="K386" s="87"/>
      <c r="L386" s="87"/>
      <c r="M386" s="87" t="s">
        <v>258</v>
      </c>
    </row>
    <row r="387" spans="1:13" ht="15.75">
      <c r="A387" s="87">
        <v>6</v>
      </c>
      <c r="B387" s="96" t="s">
        <v>84</v>
      </c>
      <c r="C387" s="92">
        <v>4002205099727</v>
      </c>
      <c r="D387" s="93" t="s">
        <v>123</v>
      </c>
      <c r="E387" s="94">
        <f t="shared" si="26"/>
        <v>10776914.465</v>
      </c>
      <c r="F387" s="95">
        <v>10776914.465</v>
      </c>
      <c r="G387" s="87"/>
      <c r="H387" s="87"/>
      <c r="I387" s="87"/>
      <c r="J387" s="94"/>
      <c r="K387" s="87"/>
      <c r="L387" s="87"/>
      <c r="M387" s="87" t="s">
        <v>251</v>
      </c>
    </row>
    <row r="388" spans="1:13" ht="15.75">
      <c r="A388" s="87">
        <v>7</v>
      </c>
      <c r="B388" s="96" t="s">
        <v>31</v>
      </c>
      <c r="C388" s="98">
        <v>4002215005454</v>
      </c>
      <c r="D388" s="93" t="s">
        <v>123</v>
      </c>
      <c r="E388" s="94">
        <f t="shared" si="26"/>
        <v>10467575.564999999</v>
      </c>
      <c r="F388" s="95">
        <v>10467575.564999999</v>
      </c>
      <c r="G388" s="87"/>
      <c r="H388" s="87"/>
      <c r="I388" s="87"/>
      <c r="J388" s="94"/>
      <c r="K388" s="87"/>
      <c r="L388" s="87"/>
      <c r="M388" s="87"/>
    </row>
    <row r="389" spans="1:13" ht="15.75">
      <c r="A389" s="87">
        <v>8</v>
      </c>
      <c r="B389" s="96" t="s">
        <v>125</v>
      </c>
      <c r="C389" s="92">
        <v>4002215005369</v>
      </c>
      <c r="D389" s="93" t="s">
        <v>123</v>
      </c>
      <c r="E389" s="94">
        <f t="shared" si="26"/>
        <v>10328176.380000001</v>
      </c>
      <c r="F389" s="95">
        <v>10328176.380000001</v>
      </c>
      <c r="G389" s="87"/>
      <c r="H389" s="87"/>
      <c r="I389" s="87"/>
      <c r="J389" s="94"/>
      <c r="K389" s="87"/>
      <c r="L389" s="87"/>
      <c r="M389" s="87" t="s">
        <v>251</v>
      </c>
    </row>
    <row r="390" spans="1:13" ht="15.75">
      <c r="A390" s="87">
        <v>9</v>
      </c>
      <c r="B390" s="96" t="s">
        <v>33</v>
      </c>
      <c r="C390" s="98">
        <v>4002215013980</v>
      </c>
      <c r="D390" s="93" t="s">
        <v>123</v>
      </c>
      <c r="E390" s="94">
        <f t="shared" si="26"/>
        <v>9993888.1750000007</v>
      </c>
      <c r="F390" s="95">
        <v>9993888.1750000007</v>
      </c>
      <c r="G390" s="97"/>
      <c r="H390" s="87"/>
      <c r="I390" s="87"/>
      <c r="J390" s="94"/>
      <c r="K390" s="87"/>
      <c r="L390" s="87"/>
      <c r="M390" s="87"/>
    </row>
    <row r="391" spans="1:13" ht="15.75">
      <c r="A391" s="87">
        <v>10</v>
      </c>
      <c r="B391" s="96" t="s">
        <v>34</v>
      </c>
      <c r="C391" s="92">
        <v>4002215014006</v>
      </c>
      <c r="D391" s="93" t="s">
        <v>123</v>
      </c>
      <c r="E391" s="94">
        <f t="shared" si="26"/>
        <v>8728944.4800000004</v>
      </c>
      <c r="F391" s="95">
        <v>8728944.4800000004</v>
      </c>
      <c r="G391" s="87"/>
      <c r="H391" s="87"/>
      <c r="I391" s="87"/>
      <c r="J391" s="94"/>
      <c r="K391" s="87"/>
      <c r="L391" s="87"/>
      <c r="M391" s="87"/>
    </row>
    <row r="392" spans="1:13" ht="15.75">
      <c r="A392" s="87">
        <v>11</v>
      </c>
      <c r="B392" s="99" t="s">
        <v>36</v>
      </c>
      <c r="C392" s="98">
        <v>4002215020718</v>
      </c>
      <c r="D392" s="93" t="s">
        <v>123</v>
      </c>
      <c r="E392" s="94">
        <f t="shared" si="26"/>
        <v>9253615.1999999993</v>
      </c>
      <c r="F392" s="95">
        <v>9253615.1999999993</v>
      </c>
      <c r="G392" s="87"/>
      <c r="H392" s="87"/>
      <c r="I392" s="87"/>
      <c r="J392" s="94"/>
      <c r="K392" s="87"/>
      <c r="L392" s="87"/>
      <c r="M392" s="87"/>
    </row>
    <row r="393" spans="1:13" ht="15.75">
      <c r="A393" s="87">
        <v>12</v>
      </c>
      <c r="B393" s="96" t="s">
        <v>59</v>
      </c>
      <c r="C393" s="92">
        <v>4002215018587</v>
      </c>
      <c r="D393" s="93" t="s">
        <v>123</v>
      </c>
      <c r="E393" s="94">
        <f>SUM(F393:L393)</f>
        <v>6109968.4999999991</v>
      </c>
      <c r="F393" s="95">
        <v>6109968.4999999991</v>
      </c>
      <c r="G393" s="97"/>
      <c r="H393" s="87"/>
      <c r="I393" s="87"/>
      <c r="J393" s="94"/>
      <c r="K393" s="87"/>
      <c r="L393" s="87"/>
      <c r="M393" s="87"/>
    </row>
    <row r="394" spans="1:13" ht="15.75">
      <c r="A394" s="87">
        <v>13</v>
      </c>
      <c r="B394" s="96" t="s">
        <v>126</v>
      </c>
      <c r="C394" s="98">
        <v>4002215013945</v>
      </c>
      <c r="D394" s="93" t="s">
        <v>123</v>
      </c>
      <c r="E394" s="94">
        <f t="shared" ref="E394:E398" si="27">SUM(F394:L394)</f>
        <v>9519759</v>
      </c>
      <c r="F394" s="95">
        <v>9519759</v>
      </c>
      <c r="G394" s="87"/>
      <c r="H394" s="87"/>
      <c r="I394" s="87"/>
      <c r="J394" s="94"/>
      <c r="K394" s="87"/>
      <c r="L394" s="87"/>
      <c r="M394" s="87" t="s">
        <v>251</v>
      </c>
    </row>
    <row r="395" spans="1:13" ht="15.75">
      <c r="A395" s="87">
        <v>14</v>
      </c>
      <c r="B395" s="96" t="s">
        <v>37</v>
      </c>
      <c r="C395" s="98">
        <v>4002205015211</v>
      </c>
      <c r="D395" s="93" t="s">
        <v>123</v>
      </c>
      <c r="E395" s="94">
        <f t="shared" si="27"/>
        <v>8844163.1999999993</v>
      </c>
      <c r="F395" s="95">
        <v>8844163.1999999993</v>
      </c>
      <c r="G395" s="87"/>
      <c r="H395" s="87"/>
      <c r="I395" s="87"/>
      <c r="J395" s="94"/>
      <c r="K395" s="87"/>
      <c r="L395" s="87"/>
      <c r="M395" s="87"/>
    </row>
    <row r="396" spans="1:13" ht="15.75">
      <c r="A396" s="87">
        <v>15</v>
      </c>
      <c r="B396" s="96" t="s">
        <v>127</v>
      </c>
      <c r="C396" s="92">
        <v>4002215013793</v>
      </c>
      <c r="D396" s="93" t="s">
        <v>123</v>
      </c>
      <c r="E396" s="94">
        <f t="shared" si="27"/>
        <v>8786553.8400000017</v>
      </c>
      <c r="F396" s="95">
        <v>8786553.8400000017</v>
      </c>
      <c r="G396" s="87"/>
      <c r="H396" s="87"/>
      <c r="I396" s="87"/>
      <c r="J396" s="94"/>
      <c r="K396" s="87"/>
      <c r="L396" s="87"/>
      <c r="M396" s="87"/>
    </row>
    <row r="397" spans="1:13" ht="15.75">
      <c r="A397" s="87">
        <v>16</v>
      </c>
      <c r="B397" s="96" t="s">
        <v>38</v>
      </c>
      <c r="C397" s="98">
        <v>4002215013895</v>
      </c>
      <c r="D397" s="93" t="s">
        <v>123</v>
      </c>
      <c r="E397" s="94">
        <f t="shared" si="27"/>
        <v>8728944.4800000004</v>
      </c>
      <c r="F397" s="95">
        <v>8728944.4800000004</v>
      </c>
      <c r="G397" s="87"/>
      <c r="H397" s="87"/>
      <c r="I397" s="87"/>
      <c r="J397" s="94"/>
      <c r="K397" s="87"/>
      <c r="L397" s="87"/>
      <c r="M397" s="87"/>
    </row>
    <row r="398" spans="1:13" ht="15.75">
      <c r="A398" s="87">
        <v>17</v>
      </c>
      <c r="B398" s="96" t="s">
        <v>128</v>
      </c>
      <c r="C398" s="98">
        <v>4002215005483</v>
      </c>
      <c r="D398" s="93" t="s">
        <v>123</v>
      </c>
      <c r="E398" s="94">
        <f t="shared" si="27"/>
        <v>8728944.4800000004</v>
      </c>
      <c r="F398" s="95">
        <v>8728944.4800000004</v>
      </c>
      <c r="G398" s="87"/>
      <c r="H398" s="87"/>
      <c r="I398" s="87"/>
      <c r="J398" s="94"/>
      <c r="K398" s="87"/>
      <c r="L398" s="87"/>
      <c r="M398" s="87"/>
    </row>
    <row r="399" spans="1:13" ht="15.75">
      <c r="A399" s="87">
        <v>18</v>
      </c>
      <c r="B399" s="96" t="s">
        <v>91</v>
      </c>
      <c r="C399" s="100">
        <v>4001205046288</v>
      </c>
      <c r="D399" s="93" t="s">
        <v>129</v>
      </c>
      <c r="E399" s="94">
        <f>SUM(F399:L399)</f>
        <v>9091642.5150000025</v>
      </c>
      <c r="F399" s="101">
        <v>9091642.5150000025</v>
      </c>
      <c r="G399" s="87"/>
      <c r="H399" s="87"/>
      <c r="I399" s="87"/>
      <c r="J399" s="94"/>
      <c r="K399" s="87"/>
      <c r="L399" s="87"/>
      <c r="M399" s="87"/>
    </row>
    <row r="400" spans="1:13" ht="15.75">
      <c r="A400" s="87">
        <v>19</v>
      </c>
      <c r="B400" s="99" t="s">
        <v>39</v>
      </c>
      <c r="C400" s="98">
        <v>4002205007627</v>
      </c>
      <c r="D400" s="93" t="s">
        <v>123</v>
      </c>
      <c r="E400" s="94">
        <f t="shared" ref="E400:E417" si="28">SUM(F400:L400)</f>
        <v>8901772.5600000005</v>
      </c>
      <c r="F400" s="95">
        <v>8901772.5600000005</v>
      </c>
      <c r="G400" s="87"/>
      <c r="H400" s="87"/>
      <c r="I400" s="87"/>
      <c r="J400" s="94"/>
      <c r="K400" s="87"/>
      <c r="L400" s="87"/>
      <c r="M400" s="87"/>
    </row>
    <row r="401" spans="1:13" ht="15.75">
      <c r="A401" s="87">
        <v>20</v>
      </c>
      <c r="B401" s="96" t="s">
        <v>40</v>
      </c>
      <c r="C401" s="98">
        <v>4002205008006</v>
      </c>
      <c r="D401" s="93" t="s">
        <v>123</v>
      </c>
      <c r="E401" s="94">
        <f t="shared" si="28"/>
        <v>8304620.7900000019</v>
      </c>
      <c r="F401" s="95">
        <v>8304620.7900000019</v>
      </c>
      <c r="G401" s="87"/>
      <c r="H401" s="87"/>
      <c r="I401" s="87"/>
      <c r="J401" s="94"/>
      <c r="K401" s="87"/>
      <c r="L401" s="87"/>
      <c r="M401" s="87"/>
    </row>
    <row r="402" spans="1:13" ht="15.75">
      <c r="A402" s="87">
        <v>21</v>
      </c>
      <c r="B402" s="96" t="s">
        <v>130</v>
      </c>
      <c r="C402" s="102">
        <v>4002215013808</v>
      </c>
      <c r="D402" s="93" t="s">
        <v>123</v>
      </c>
      <c r="E402" s="94">
        <f t="shared" si="28"/>
        <v>8008941.4649999999</v>
      </c>
      <c r="F402" s="95">
        <v>8008941.4649999999</v>
      </c>
      <c r="G402" s="87"/>
      <c r="H402" s="87"/>
      <c r="I402" s="87"/>
      <c r="J402" s="94"/>
      <c r="K402" s="87"/>
      <c r="L402" s="87"/>
      <c r="M402" s="87"/>
    </row>
    <row r="403" spans="1:13" ht="15.75">
      <c r="A403" s="87">
        <v>22</v>
      </c>
      <c r="B403" s="99" t="s">
        <v>41</v>
      </c>
      <c r="C403" s="98">
        <v>4002215005490</v>
      </c>
      <c r="D403" s="93" t="s">
        <v>123</v>
      </c>
      <c r="E403" s="94">
        <f t="shared" si="28"/>
        <v>8008941.4649999999</v>
      </c>
      <c r="F403" s="95">
        <v>8008941.4649999999</v>
      </c>
      <c r="G403" s="97"/>
      <c r="H403" s="87"/>
      <c r="I403" s="87"/>
      <c r="J403" s="94"/>
      <c r="K403" s="87"/>
      <c r="L403" s="87"/>
      <c r="M403" s="87"/>
    </row>
    <row r="404" spans="1:13" ht="15.75">
      <c r="A404" s="87">
        <v>23</v>
      </c>
      <c r="B404" s="99" t="s">
        <v>42</v>
      </c>
      <c r="C404" s="98">
        <v>4002215005425</v>
      </c>
      <c r="D404" s="93" t="s">
        <v>123</v>
      </c>
      <c r="E404" s="94">
        <f t="shared" si="28"/>
        <v>8157941.4649999999</v>
      </c>
      <c r="F404" s="95">
        <v>8157941.4649999999</v>
      </c>
      <c r="G404" s="87"/>
      <c r="H404" s="87"/>
      <c r="I404" s="87"/>
      <c r="J404" s="94"/>
      <c r="K404" s="87"/>
      <c r="L404" s="87"/>
      <c r="M404" s="87"/>
    </row>
    <row r="405" spans="1:13">
      <c r="A405" s="87">
        <v>24</v>
      </c>
      <c r="B405" s="87" t="s">
        <v>131</v>
      </c>
      <c r="C405" s="92">
        <v>4002215005280</v>
      </c>
      <c r="D405" s="93" t="s">
        <v>123</v>
      </c>
      <c r="E405" s="94">
        <f t="shared" si="28"/>
        <v>7955732.8200000003</v>
      </c>
      <c r="F405" s="95">
        <v>7955732.8200000003</v>
      </c>
      <c r="G405" s="87"/>
      <c r="H405" s="87"/>
      <c r="I405" s="87"/>
      <c r="J405" s="94"/>
      <c r="K405" s="87"/>
      <c r="L405" s="87"/>
      <c r="M405" s="87"/>
    </row>
    <row r="406" spans="1:13" ht="15.75">
      <c r="A406" s="87">
        <v>25</v>
      </c>
      <c r="B406" s="96" t="s">
        <v>43</v>
      </c>
      <c r="C406" s="92">
        <v>4002215024731</v>
      </c>
      <c r="D406" s="93" t="s">
        <v>123</v>
      </c>
      <c r="E406" s="94">
        <f t="shared" si="28"/>
        <v>7955732.8200000003</v>
      </c>
      <c r="F406" s="95">
        <v>7955732.8200000003</v>
      </c>
      <c r="G406" s="87"/>
      <c r="H406" s="87"/>
      <c r="I406" s="87"/>
      <c r="J406" s="94"/>
      <c r="K406" s="87"/>
      <c r="L406" s="87"/>
      <c r="M406" s="87"/>
    </row>
    <row r="407" spans="1:13" ht="15.75">
      <c r="A407" s="87">
        <v>26</v>
      </c>
      <c r="B407" s="96" t="s">
        <v>58</v>
      </c>
      <c r="C407" s="98">
        <v>4002205100941</v>
      </c>
      <c r="D407" s="93" t="s">
        <v>123</v>
      </c>
      <c r="E407" s="94">
        <f t="shared" si="28"/>
        <v>6417710.8649999993</v>
      </c>
      <c r="F407" s="95">
        <v>6417710.8649999993</v>
      </c>
      <c r="G407" s="87"/>
      <c r="H407" s="87"/>
      <c r="I407" s="87"/>
      <c r="J407" s="94"/>
      <c r="K407" s="87"/>
      <c r="L407" s="87"/>
      <c r="M407" s="87"/>
    </row>
    <row r="408" spans="1:13" ht="15.75">
      <c r="A408" s="87">
        <v>27</v>
      </c>
      <c r="B408" s="96" t="s">
        <v>44</v>
      </c>
      <c r="C408" s="92">
        <v>4002205008330</v>
      </c>
      <c r="D408" s="93" t="s">
        <v>123</v>
      </c>
      <c r="E408" s="94">
        <f t="shared" si="28"/>
        <v>7902524.1749999998</v>
      </c>
      <c r="F408" s="95">
        <v>7902524.1749999998</v>
      </c>
      <c r="G408" s="97"/>
      <c r="H408" s="87"/>
      <c r="I408" s="87"/>
      <c r="J408" s="94"/>
      <c r="K408" s="87"/>
      <c r="L408" s="87"/>
      <c r="M408" s="87"/>
    </row>
    <row r="409" spans="1:13">
      <c r="A409" s="87">
        <v>28</v>
      </c>
      <c r="B409" s="87" t="s">
        <v>132</v>
      </c>
      <c r="C409" s="100">
        <v>4002215005323</v>
      </c>
      <c r="D409" s="93" t="s">
        <v>123</v>
      </c>
      <c r="E409" s="94">
        <f t="shared" si="28"/>
        <v>4814115.5</v>
      </c>
      <c r="F409" s="104">
        <v>4814115.5</v>
      </c>
      <c r="G409" s="87"/>
      <c r="H409" s="87"/>
      <c r="I409" s="87"/>
      <c r="J409" s="94"/>
      <c r="K409" s="87"/>
      <c r="L409" s="87"/>
      <c r="M409" s="120" t="s">
        <v>255</v>
      </c>
    </row>
    <row r="410" spans="1:13" ht="15.75">
      <c r="A410" s="87">
        <v>29</v>
      </c>
      <c r="B410" s="99" t="s">
        <v>46</v>
      </c>
      <c r="C410" s="105">
        <v>4002215005510</v>
      </c>
      <c r="D410" s="93" t="s">
        <v>123</v>
      </c>
      <c r="E410" s="94">
        <f t="shared" si="28"/>
        <v>7815646</v>
      </c>
      <c r="F410" s="104">
        <v>7815646</v>
      </c>
      <c r="G410" s="87"/>
      <c r="H410" s="87"/>
      <c r="I410" s="87"/>
      <c r="J410" s="94"/>
      <c r="K410" s="87"/>
      <c r="L410" s="87"/>
      <c r="M410" s="87"/>
    </row>
    <row r="411" spans="1:13" ht="15.75">
      <c r="A411" s="87">
        <v>30</v>
      </c>
      <c r="B411" s="96" t="s">
        <v>47</v>
      </c>
      <c r="C411" s="98">
        <v>4002215013889</v>
      </c>
      <c r="D411" s="93" t="s">
        <v>123</v>
      </c>
      <c r="E411" s="94">
        <f t="shared" si="28"/>
        <v>7902524.1749999998</v>
      </c>
      <c r="F411" s="104">
        <v>7902524.1749999998</v>
      </c>
      <c r="G411" s="87"/>
      <c r="H411" s="87"/>
      <c r="I411" s="87"/>
      <c r="J411" s="94"/>
      <c r="K411" s="87"/>
      <c r="L411" s="87"/>
      <c r="M411" s="87"/>
    </row>
    <row r="412" spans="1:13" ht="15.75">
      <c r="A412" s="87">
        <v>31</v>
      </c>
      <c r="B412" s="96" t="s">
        <v>48</v>
      </c>
      <c r="C412" s="92">
        <v>4002215005346</v>
      </c>
      <c r="D412" s="93" t="s">
        <v>123</v>
      </c>
      <c r="E412" s="94">
        <f t="shared" si="28"/>
        <v>7151316.0900000008</v>
      </c>
      <c r="F412" s="104">
        <v>7151316.0900000008</v>
      </c>
      <c r="G412" s="87"/>
      <c r="H412" s="87"/>
      <c r="I412" s="87"/>
      <c r="J412" s="94"/>
      <c r="K412" s="87"/>
      <c r="L412" s="87"/>
      <c r="M412" s="87"/>
    </row>
    <row r="413" spans="1:13" ht="15.75">
      <c r="A413" s="87">
        <v>32</v>
      </c>
      <c r="B413" s="96" t="s">
        <v>92</v>
      </c>
      <c r="C413" s="98">
        <v>4002215021438</v>
      </c>
      <c r="D413" s="93" t="s">
        <v>123</v>
      </c>
      <c r="E413" s="94">
        <f t="shared" si="28"/>
        <v>6373303.6500000004</v>
      </c>
      <c r="F413" s="104">
        <v>6373303.6500000004</v>
      </c>
      <c r="G413" s="87"/>
      <c r="H413" s="87"/>
      <c r="I413" s="87"/>
      <c r="J413" s="94"/>
      <c r="K413" s="87"/>
      <c r="L413" s="87"/>
      <c r="M413" s="87"/>
    </row>
    <row r="414" spans="1:13" ht="15.75">
      <c r="A414" s="87">
        <v>33</v>
      </c>
      <c r="B414" s="96" t="s">
        <v>93</v>
      </c>
      <c r="C414" s="98">
        <v>4002205007265</v>
      </c>
      <c r="D414" s="93" t="s">
        <v>123</v>
      </c>
      <c r="E414" s="94">
        <f t="shared" si="28"/>
        <v>7053700.2299999986</v>
      </c>
      <c r="F414" s="104">
        <v>7053700.2299999986</v>
      </c>
      <c r="G414" s="87"/>
      <c r="H414" s="87"/>
      <c r="I414" s="87"/>
      <c r="J414" s="94"/>
      <c r="K414" s="87"/>
      <c r="L414" s="87"/>
      <c r="M414" s="87"/>
    </row>
    <row r="415" spans="1:13" ht="13.5" customHeight="1">
      <c r="A415" s="87">
        <v>34</v>
      </c>
      <c r="B415" s="96" t="s">
        <v>95</v>
      </c>
      <c r="C415" s="100">
        <v>4009205061263</v>
      </c>
      <c r="D415" s="106" t="s">
        <v>133</v>
      </c>
      <c r="E415" s="104">
        <f t="shared" si="28"/>
        <v>5341650</v>
      </c>
      <c r="F415" s="104">
        <v>5341650</v>
      </c>
      <c r="G415" s="87"/>
      <c r="H415" s="87"/>
      <c r="I415" s="87"/>
      <c r="J415" s="94"/>
      <c r="K415" s="87"/>
      <c r="L415" s="87"/>
      <c r="M415" s="87"/>
    </row>
    <row r="416" spans="1:13" ht="15.75">
      <c r="A416" s="87">
        <v>35</v>
      </c>
      <c r="B416" s="96" t="s">
        <v>49</v>
      </c>
      <c r="C416" s="100">
        <v>4002215005330</v>
      </c>
      <c r="D416" s="93" t="s">
        <v>123</v>
      </c>
      <c r="E416" s="94">
        <f t="shared" si="28"/>
        <v>4752057</v>
      </c>
      <c r="F416" s="104">
        <v>4752057</v>
      </c>
      <c r="G416" s="87"/>
      <c r="H416" s="87"/>
      <c r="I416" s="87"/>
      <c r="J416" s="94"/>
      <c r="K416" s="87"/>
      <c r="L416" s="87"/>
      <c r="M416" s="87"/>
    </row>
    <row r="417" spans="1:20" ht="15.75">
      <c r="A417" s="87">
        <v>36</v>
      </c>
      <c r="B417" s="96" t="s">
        <v>50</v>
      </c>
      <c r="C417" s="100">
        <v>4002215013758</v>
      </c>
      <c r="D417" s="93" t="s">
        <v>123</v>
      </c>
      <c r="E417" s="94">
        <f t="shared" si="28"/>
        <v>4111953</v>
      </c>
      <c r="F417" s="104">
        <v>4111953</v>
      </c>
      <c r="G417" s="87"/>
      <c r="H417" s="87"/>
      <c r="I417" s="87"/>
      <c r="J417" s="94"/>
      <c r="K417" s="87"/>
      <c r="L417" s="87"/>
      <c r="M417" s="87"/>
    </row>
    <row r="418" spans="1:20">
      <c r="A418" s="90" t="s">
        <v>134</v>
      </c>
      <c r="B418" s="88" t="s">
        <v>135</v>
      </c>
      <c r="C418" s="107"/>
      <c r="D418" s="103"/>
      <c r="E418" s="89">
        <f>E419</f>
        <v>3508400</v>
      </c>
      <c r="F418" s="89"/>
      <c r="G418" s="89">
        <f>G419</f>
        <v>3508400</v>
      </c>
      <c r="H418" s="87"/>
      <c r="I418" s="87"/>
      <c r="J418" s="89"/>
      <c r="K418" s="87"/>
      <c r="L418" s="87"/>
      <c r="M418" s="87"/>
    </row>
    <row r="419" spans="1:20" ht="15.75">
      <c r="A419" s="87">
        <v>1</v>
      </c>
      <c r="B419" s="96" t="s">
        <v>51</v>
      </c>
      <c r="C419" s="100">
        <v>4002205034012</v>
      </c>
      <c r="D419" s="93" t="s">
        <v>123</v>
      </c>
      <c r="E419" s="108">
        <f>F419+G419+J419</f>
        <v>3508400</v>
      </c>
      <c r="F419" s="104"/>
      <c r="G419" s="104">
        <v>3508400</v>
      </c>
      <c r="H419" s="87"/>
      <c r="I419" s="87"/>
      <c r="J419" s="94"/>
      <c r="K419" s="87"/>
      <c r="L419" s="87"/>
      <c r="M419" s="87"/>
    </row>
    <row r="420" spans="1:20" ht="13.5" customHeight="1">
      <c r="A420" s="88" t="s">
        <v>136</v>
      </c>
      <c r="B420" s="109" t="s">
        <v>137</v>
      </c>
      <c r="C420" s="110"/>
      <c r="D420" s="87"/>
      <c r="E420" s="88">
        <v>0</v>
      </c>
      <c r="F420" s="88">
        <v>0</v>
      </c>
      <c r="G420" s="87"/>
      <c r="H420" s="87"/>
      <c r="I420" s="87"/>
      <c r="J420" s="94"/>
      <c r="K420" s="87"/>
      <c r="L420" s="87"/>
      <c r="M420" s="87"/>
    </row>
    <row r="421" spans="1:20">
      <c r="A421" s="1" t="s">
        <v>100</v>
      </c>
      <c r="C421" s="210" t="s">
        <v>259</v>
      </c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</row>
    <row r="422" spans="1:20" ht="15.75">
      <c r="A422" s="111" t="s">
        <v>138</v>
      </c>
      <c r="B422" s="111"/>
      <c r="C422" s="111"/>
      <c r="D422" s="111"/>
      <c r="E422" s="111"/>
      <c r="F422" s="111"/>
      <c r="G422" s="111"/>
      <c r="H422" s="82"/>
      <c r="I422" s="82"/>
      <c r="J422" s="82"/>
      <c r="K422" s="82"/>
      <c r="L422" s="82"/>
      <c r="M422" s="82"/>
    </row>
    <row r="423" spans="1:20" ht="15.75">
      <c r="A423" s="112" t="s">
        <v>242</v>
      </c>
      <c r="B423" s="112"/>
      <c r="C423" s="113">
        <f>C356</f>
        <v>304483828.78090012</v>
      </c>
      <c r="D423" s="258" t="s">
        <v>246</v>
      </c>
      <c r="E423" s="258"/>
      <c r="F423" s="258"/>
      <c r="G423" s="258"/>
      <c r="H423" s="259" t="s">
        <v>261</v>
      </c>
      <c r="I423" s="259"/>
      <c r="J423" s="259"/>
      <c r="K423" s="114"/>
      <c r="L423" s="114"/>
      <c r="M423" s="82"/>
    </row>
    <row r="424" spans="1:20">
      <c r="A424" s="242" t="s">
        <v>139</v>
      </c>
      <c r="B424" s="242"/>
      <c r="C424" s="115">
        <v>2252530</v>
      </c>
      <c r="D424" s="112" t="s">
        <v>140</v>
      </c>
      <c r="E424" s="112"/>
      <c r="F424" s="112"/>
      <c r="G424" s="243" t="s">
        <v>262</v>
      </c>
      <c r="H424" s="243"/>
      <c r="I424" s="243"/>
      <c r="J424" s="243"/>
      <c r="K424" s="243"/>
      <c r="L424" s="243"/>
      <c r="M424" s="243"/>
    </row>
    <row r="425" spans="1:20" ht="15.75">
      <c r="A425" s="242" t="s">
        <v>141</v>
      </c>
      <c r="B425" s="242"/>
      <c r="C425" s="8">
        <f>0</f>
        <v>0</v>
      </c>
      <c r="D425" s="112" t="s">
        <v>140</v>
      </c>
      <c r="E425" s="118"/>
      <c r="F425" s="114"/>
      <c r="G425" s="243" t="s">
        <v>263</v>
      </c>
      <c r="H425" s="243"/>
      <c r="I425" s="243"/>
      <c r="J425" s="243"/>
      <c r="K425" s="243"/>
      <c r="L425" s="243"/>
      <c r="M425" s="243"/>
    </row>
    <row r="426" spans="1:20">
      <c r="A426" s="112" t="s">
        <v>257</v>
      </c>
      <c r="B426" s="112"/>
      <c r="C426" s="119">
        <f>C423+C424-C425</f>
        <v>306736358.78090012</v>
      </c>
      <c r="D426" s="154" t="s">
        <v>265</v>
      </c>
      <c r="E426" s="154"/>
      <c r="F426" s="154"/>
      <c r="G426" s="243" t="s">
        <v>266</v>
      </c>
      <c r="H426" s="243"/>
      <c r="I426" s="243"/>
      <c r="J426" s="243"/>
      <c r="K426" s="243"/>
      <c r="L426" s="243"/>
      <c r="M426" s="243"/>
    </row>
    <row r="427" spans="1:20">
      <c r="A427" s="112"/>
      <c r="B427" s="112"/>
      <c r="C427" s="119"/>
      <c r="D427" s="149"/>
      <c r="E427" s="149"/>
      <c r="F427" s="149"/>
      <c r="G427" s="243" t="s">
        <v>260</v>
      </c>
      <c r="H427" s="243"/>
      <c r="I427" s="243"/>
      <c r="J427" s="243"/>
      <c r="K427" s="243"/>
      <c r="L427" s="243"/>
      <c r="M427" s="243"/>
    </row>
    <row r="428" spans="1:20">
      <c r="A428" s="112"/>
      <c r="B428" s="112"/>
      <c r="C428" s="119"/>
      <c r="D428" s="149"/>
      <c r="E428" s="149"/>
      <c r="F428" s="149"/>
      <c r="G428" s="243" t="s">
        <v>264</v>
      </c>
      <c r="H428" s="243"/>
      <c r="I428" s="243"/>
      <c r="J428" s="243"/>
      <c r="K428" s="243"/>
      <c r="L428" s="243"/>
      <c r="M428" s="243"/>
    </row>
    <row r="429" spans="1:20">
      <c r="A429" s="147"/>
      <c r="B429" s="147"/>
      <c r="C429" s="147"/>
      <c r="D429" s="147"/>
      <c r="E429" s="115"/>
      <c r="F429" s="82"/>
      <c r="G429" s="82"/>
      <c r="H429" s="241" t="s">
        <v>256</v>
      </c>
      <c r="I429" s="241"/>
      <c r="J429" s="241"/>
      <c r="K429" s="241"/>
      <c r="L429" s="241"/>
      <c r="M429" s="241"/>
    </row>
    <row r="430" spans="1:20" ht="15.75">
      <c r="A430" s="82"/>
      <c r="B430" s="82"/>
      <c r="C430" s="239" t="s">
        <v>142</v>
      </c>
      <c r="D430" s="239"/>
      <c r="E430" s="239" t="s">
        <v>79</v>
      </c>
      <c r="F430" s="239"/>
      <c r="G430" s="239"/>
      <c r="H430" s="239" t="s">
        <v>143</v>
      </c>
      <c r="I430" s="239"/>
      <c r="J430" s="239"/>
      <c r="K430" s="239"/>
      <c r="L430" s="239"/>
      <c r="M430" s="239"/>
    </row>
    <row r="431" spans="1:20">
      <c r="A431" s="82"/>
      <c r="B431" s="82"/>
      <c r="C431" s="242" t="s">
        <v>144</v>
      </c>
      <c r="D431" s="242"/>
      <c r="E431" s="242" t="s">
        <v>145</v>
      </c>
      <c r="F431" s="242"/>
      <c r="G431" s="242"/>
      <c r="H431" s="242" t="s">
        <v>146</v>
      </c>
      <c r="I431" s="242"/>
      <c r="J431" s="242"/>
      <c r="K431" s="242"/>
      <c r="L431" s="242"/>
      <c r="M431" s="242"/>
    </row>
    <row r="432" spans="1:20">
      <c r="A432" s="82"/>
      <c r="B432" s="82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</row>
    <row r="433" spans="1:1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</row>
    <row r="434" spans="1:13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</row>
    <row r="435" spans="1:13" ht="15.75">
      <c r="A435" s="82"/>
      <c r="B435" s="82"/>
      <c r="C435" s="239" t="s">
        <v>59</v>
      </c>
      <c r="D435" s="239"/>
      <c r="E435" s="239" t="s">
        <v>59</v>
      </c>
      <c r="F435" s="239"/>
      <c r="G435" s="239"/>
      <c r="H435" s="239" t="s">
        <v>60</v>
      </c>
      <c r="I435" s="239"/>
      <c r="J435" s="239"/>
      <c r="K435" s="239"/>
      <c r="L435" s="239"/>
      <c r="M435" s="239"/>
    </row>
    <row r="436" spans="1:13">
      <c r="A436" s="240" t="s">
        <v>147</v>
      </c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</row>
    <row r="437" spans="1:13">
      <c r="A437" s="82"/>
      <c r="B437" s="82"/>
      <c r="C437" s="82"/>
      <c r="D437" s="82"/>
      <c r="E437" s="82"/>
      <c r="F437" s="82"/>
      <c r="G437" s="241" t="s">
        <v>157</v>
      </c>
      <c r="H437" s="241"/>
      <c r="I437" s="241"/>
      <c r="J437" s="241"/>
      <c r="K437" s="241"/>
      <c r="L437" s="241"/>
      <c r="M437" s="241"/>
    </row>
    <row r="438" spans="1:13" ht="15.75">
      <c r="A438" s="82"/>
      <c r="B438" s="240" t="s">
        <v>148</v>
      </c>
      <c r="C438" s="240"/>
      <c r="D438" s="240"/>
      <c r="E438" s="240"/>
      <c r="F438" s="240"/>
      <c r="G438" s="239" t="s">
        <v>149</v>
      </c>
      <c r="H438" s="239"/>
      <c r="I438" s="239"/>
      <c r="J438" s="239"/>
      <c r="K438" s="239"/>
      <c r="L438" s="239"/>
      <c r="M438" s="239"/>
    </row>
    <row r="439" spans="1:13" ht="15.75">
      <c r="A439" s="82"/>
      <c r="B439" s="144"/>
      <c r="C439" s="144"/>
      <c r="D439" s="144"/>
      <c r="E439" s="144"/>
      <c r="F439" s="144"/>
      <c r="G439" s="145"/>
      <c r="H439" s="145"/>
      <c r="I439" s="145"/>
      <c r="J439" s="145"/>
      <c r="K439" s="145"/>
      <c r="L439" s="145"/>
      <c r="M439" s="145"/>
    </row>
    <row r="441" spans="1:13" ht="18.75">
      <c r="A441" s="253" t="s">
        <v>102</v>
      </c>
      <c r="B441" s="253"/>
      <c r="C441" s="253"/>
      <c r="D441" s="253"/>
      <c r="E441" s="253"/>
      <c r="F441" s="253"/>
      <c r="G441" s="253"/>
      <c r="H441" s="253"/>
      <c r="I441" s="253"/>
      <c r="J441" s="253"/>
      <c r="K441" s="242" t="s">
        <v>103</v>
      </c>
      <c r="L441" s="242"/>
      <c r="M441" s="81"/>
    </row>
    <row r="442" spans="1:13" ht="18.75">
      <c r="A442" s="254" t="s">
        <v>283</v>
      </c>
      <c r="B442" s="254"/>
      <c r="C442" s="254"/>
      <c r="D442" s="254"/>
      <c r="E442" s="254"/>
      <c r="F442" s="254"/>
      <c r="G442" s="254"/>
      <c r="H442" s="254"/>
      <c r="I442" s="254"/>
      <c r="J442" s="254"/>
      <c r="K442" s="255" t="s">
        <v>215</v>
      </c>
      <c r="L442" s="255"/>
      <c r="M442" s="82"/>
    </row>
    <row r="443" spans="1:13" ht="18.75">
      <c r="A443" s="162"/>
      <c r="B443" s="162"/>
      <c r="C443" s="254" t="s">
        <v>104</v>
      </c>
      <c r="D443" s="254"/>
      <c r="E443" s="254"/>
      <c r="F443" s="254"/>
      <c r="G443" s="254"/>
      <c r="H443" s="254"/>
      <c r="I443" s="254"/>
      <c r="J443" s="162"/>
      <c r="K443" s="162"/>
      <c r="L443" s="162"/>
      <c r="M443" s="82"/>
    </row>
    <row r="444" spans="1:13" ht="16.5">
      <c r="A444" s="256" t="s">
        <v>105</v>
      </c>
      <c r="B444" s="256"/>
      <c r="C444" s="256"/>
      <c r="D444" s="256"/>
      <c r="E444" s="256"/>
      <c r="F444" s="256"/>
      <c r="G444" s="256"/>
      <c r="H444" s="256"/>
      <c r="I444" s="256"/>
      <c r="J444" s="256"/>
      <c r="K444" s="256"/>
      <c r="L444" s="256"/>
      <c r="M444" s="82"/>
    </row>
    <row r="445" spans="1:13" ht="16.5">
      <c r="A445" s="256" t="s">
        <v>106</v>
      </c>
      <c r="B445" s="256"/>
      <c r="C445" s="256"/>
      <c r="D445" s="256"/>
      <c r="E445" s="256"/>
      <c r="F445" s="256"/>
      <c r="G445" s="256"/>
      <c r="H445" s="256"/>
      <c r="I445" s="256"/>
      <c r="J445" s="256"/>
      <c r="K445" s="256"/>
      <c r="L445" s="256"/>
      <c r="M445" s="82"/>
    </row>
    <row r="446" spans="1:13" ht="16.5">
      <c r="A446" s="256" t="s">
        <v>107</v>
      </c>
      <c r="B446" s="256"/>
      <c r="C446" s="256"/>
      <c r="D446" s="256"/>
      <c r="E446" s="256"/>
      <c r="F446" s="256"/>
      <c r="G446" s="256"/>
      <c r="H446" s="256"/>
      <c r="I446" s="256"/>
      <c r="J446" s="256"/>
      <c r="K446" s="256"/>
      <c r="L446" s="256"/>
      <c r="M446" s="82"/>
    </row>
    <row r="447" spans="1:13" ht="15.75">
      <c r="A447" s="257" t="s">
        <v>273</v>
      </c>
      <c r="B447" s="257"/>
      <c r="C447" s="257"/>
      <c r="D447" s="257"/>
      <c r="E447" s="257"/>
      <c r="F447" s="257"/>
      <c r="G447" s="257"/>
      <c r="H447" s="257"/>
      <c r="I447" s="257"/>
      <c r="J447" s="257"/>
      <c r="K447" s="257"/>
      <c r="L447" s="257"/>
      <c r="M447" s="82"/>
    </row>
    <row r="448" spans="1:13">
      <c r="A448" s="245" t="s">
        <v>0</v>
      </c>
      <c r="B448" s="247" t="s">
        <v>108</v>
      </c>
      <c r="C448" s="249" t="s">
        <v>109</v>
      </c>
      <c r="D448" s="249"/>
      <c r="E448" s="247" t="s">
        <v>110</v>
      </c>
      <c r="F448" s="250" t="s">
        <v>111</v>
      </c>
      <c r="G448" s="251"/>
      <c r="H448" s="251"/>
      <c r="I448" s="251"/>
      <c r="J448" s="251"/>
      <c r="K448" s="251"/>
      <c r="L448" s="252"/>
      <c r="M448" s="247" t="s">
        <v>57</v>
      </c>
    </row>
    <row r="449" spans="1:13" ht="50.25" customHeight="1">
      <c r="A449" s="246"/>
      <c r="B449" s="248"/>
      <c r="C449" s="84" t="s">
        <v>112</v>
      </c>
      <c r="D449" s="84" t="s">
        <v>113</v>
      </c>
      <c r="E449" s="248"/>
      <c r="F449" s="84" t="s">
        <v>114</v>
      </c>
      <c r="G449" s="85" t="s">
        <v>115</v>
      </c>
      <c r="H449" s="85" t="s">
        <v>116</v>
      </c>
      <c r="I449" s="84" t="s">
        <v>117</v>
      </c>
      <c r="J449" s="84" t="s">
        <v>118</v>
      </c>
      <c r="K449" s="84" t="s">
        <v>119</v>
      </c>
      <c r="L449" s="84" t="s">
        <v>120</v>
      </c>
      <c r="M449" s="248"/>
    </row>
    <row r="450" spans="1:13" ht="13.5" customHeight="1">
      <c r="A450" s="86">
        <v>1</v>
      </c>
      <c r="B450" s="86">
        <v>2</v>
      </c>
      <c r="C450" s="86">
        <v>3</v>
      </c>
      <c r="D450" s="86"/>
      <c r="E450" s="86">
        <v>4</v>
      </c>
      <c r="F450" s="86">
        <v>5</v>
      </c>
      <c r="G450" s="86">
        <v>6</v>
      </c>
      <c r="H450" s="86">
        <v>7</v>
      </c>
      <c r="I450" s="86">
        <v>8</v>
      </c>
      <c r="J450" s="86">
        <v>9</v>
      </c>
      <c r="K450" s="86">
        <v>10</v>
      </c>
      <c r="L450" s="86">
        <v>11</v>
      </c>
      <c r="M450" s="86">
        <v>12</v>
      </c>
    </row>
    <row r="451" spans="1:13">
      <c r="A451" s="87"/>
      <c r="B451" s="88" t="s">
        <v>110</v>
      </c>
      <c r="C451" s="87"/>
      <c r="D451" s="87"/>
      <c r="E451" s="89">
        <f>E452+E489+E491</f>
        <v>306071214.76824611</v>
      </c>
      <c r="F451" s="89">
        <f>F452+F489+F491</f>
        <v>302562814.76824611</v>
      </c>
      <c r="G451" s="89">
        <f t="shared" ref="G451:J451" si="29">G452+G489+G491</f>
        <v>3508400</v>
      </c>
      <c r="H451" s="89">
        <f t="shared" si="29"/>
        <v>0</v>
      </c>
      <c r="I451" s="89">
        <f t="shared" si="29"/>
        <v>0</v>
      </c>
      <c r="J451" s="89">
        <f t="shared" si="29"/>
        <v>0</v>
      </c>
      <c r="K451" s="87"/>
      <c r="L451" s="87"/>
      <c r="M451" s="87"/>
    </row>
    <row r="452" spans="1:13">
      <c r="A452" s="90" t="s">
        <v>121</v>
      </c>
      <c r="B452" s="88" t="s">
        <v>122</v>
      </c>
      <c r="C452" s="87"/>
      <c r="D452" s="87"/>
      <c r="E452" s="89">
        <f>SUM(E453:E488)</f>
        <v>302562814.76824611</v>
      </c>
      <c r="F452" s="89">
        <f>SUM(F453:F488)</f>
        <v>302562814.76824611</v>
      </c>
      <c r="G452" s="89">
        <f t="shared" ref="G452:J452" si="30">SUM(G453:G488)</f>
        <v>0</v>
      </c>
      <c r="H452" s="89">
        <f t="shared" si="30"/>
        <v>0</v>
      </c>
      <c r="I452" s="89">
        <f t="shared" si="30"/>
        <v>0</v>
      </c>
      <c r="J452" s="89">
        <f t="shared" si="30"/>
        <v>0</v>
      </c>
      <c r="K452" s="87"/>
      <c r="L452" s="87"/>
      <c r="M452" s="87"/>
    </row>
    <row r="453" spans="1:13" ht="15.75">
      <c r="A453" s="87">
        <v>1</v>
      </c>
      <c r="B453" s="91" t="s">
        <v>60</v>
      </c>
      <c r="C453" s="92">
        <v>4002205008058</v>
      </c>
      <c r="D453" s="93" t="s">
        <v>123</v>
      </c>
      <c r="E453" s="94">
        <f>SUM(F453:L453)</f>
        <v>11379448.859999999</v>
      </c>
      <c r="F453" s="95">
        <v>11379448.859999999</v>
      </c>
      <c r="G453" s="87"/>
      <c r="H453" s="87"/>
      <c r="I453" s="87"/>
      <c r="J453" s="94"/>
      <c r="K453" s="87"/>
      <c r="L453" s="87"/>
      <c r="M453" s="87"/>
    </row>
    <row r="454" spans="1:13" ht="15.75">
      <c r="A454" s="87">
        <v>2</v>
      </c>
      <c r="B454" s="96" t="s">
        <v>28</v>
      </c>
      <c r="C454" s="92">
        <v>4002215013939</v>
      </c>
      <c r="D454" s="93" t="s">
        <v>123</v>
      </c>
      <c r="E454" s="94">
        <f t="shared" ref="E454:E463" si="31">SUM(F454:L454)</f>
        <v>11335386.907800004</v>
      </c>
      <c r="F454" s="95">
        <v>11335386.907800004</v>
      </c>
      <c r="G454" s="87"/>
      <c r="H454" s="87"/>
      <c r="I454" s="87"/>
      <c r="J454" s="94"/>
      <c r="K454" s="87"/>
      <c r="L454" s="87"/>
      <c r="M454" s="87"/>
    </row>
    <row r="455" spans="1:13" ht="15.75">
      <c r="A455" s="87">
        <v>3</v>
      </c>
      <c r="B455" s="96" t="s">
        <v>30</v>
      </c>
      <c r="C455" s="92">
        <v>4002205008353</v>
      </c>
      <c r="D455" s="93" t="s">
        <v>123</v>
      </c>
      <c r="E455" s="94">
        <f t="shared" si="31"/>
        <v>11057510.52</v>
      </c>
      <c r="F455" s="95">
        <v>11057510.52</v>
      </c>
      <c r="G455" s="87"/>
      <c r="H455" s="87"/>
      <c r="I455" s="87"/>
      <c r="J455" s="94"/>
      <c r="K455" s="87"/>
      <c r="L455" s="87"/>
      <c r="M455" s="87"/>
    </row>
    <row r="456" spans="1:13" ht="15.75">
      <c r="A456" s="87">
        <v>4</v>
      </c>
      <c r="B456" s="96" t="s">
        <v>32</v>
      </c>
      <c r="C456" s="92">
        <v>4002205007706</v>
      </c>
      <c r="D456" s="93" t="s">
        <v>123</v>
      </c>
      <c r="E456" s="94">
        <f t="shared" si="31"/>
        <v>11331769.828500003</v>
      </c>
      <c r="F456" s="95">
        <v>11331769.828500003</v>
      </c>
      <c r="G456" s="97"/>
      <c r="H456" s="87"/>
      <c r="I456" s="87"/>
      <c r="J456" s="94"/>
      <c r="K456" s="87"/>
      <c r="L456" s="87"/>
      <c r="M456" s="87"/>
    </row>
    <row r="457" spans="1:13" ht="15.75">
      <c r="A457" s="87">
        <v>5</v>
      </c>
      <c r="B457" s="96" t="s">
        <v>124</v>
      </c>
      <c r="C457" s="92">
        <v>4002205007577</v>
      </c>
      <c r="D457" s="93" t="s">
        <v>123</v>
      </c>
      <c r="E457" s="94">
        <f t="shared" si="31"/>
        <v>11834568.153100003</v>
      </c>
      <c r="F457" s="95">
        <v>11834568.153100003</v>
      </c>
      <c r="G457" s="87"/>
      <c r="H457" s="87"/>
      <c r="I457" s="87"/>
      <c r="J457" s="94"/>
      <c r="K457" s="87"/>
      <c r="L457" s="87"/>
      <c r="M457" s="87"/>
    </row>
    <row r="458" spans="1:13" ht="15.75">
      <c r="A458" s="87">
        <v>6</v>
      </c>
      <c r="B458" s="96" t="s">
        <v>84</v>
      </c>
      <c r="C458" s="92">
        <v>4002205099727</v>
      </c>
      <c r="D458" s="93" t="s">
        <v>123</v>
      </c>
      <c r="E458" s="94">
        <f t="shared" si="31"/>
        <v>10846659.130000001</v>
      </c>
      <c r="F458" s="95">
        <v>10846659.130000001</v>
      </c>
      <c r="G458" s="87"/>
      <c r="H458" s="87"/>
      <c r="I458" s="87"/>
      <c r="J458" s="94"/>
      <c r="K458" s="87"/>
      <c r="L458" s="87"/>
      <c r="M458" s="93" t="s">
        <v>284</v>
      </c>
    </row>
    <row r="459" spans="1:13" ht="15.75">
      <c r="A459" s="87">
        <v>7</v>
      </c>
      <c r="B459" s="96" t="s">
        <v>31</v>
      </c>
      <c r="C459" s="98">
        <v>4002215005454</v>
      </c>
      <c r="D459" s="93" t="s">
        <v>123</v>
      </c>
      <c r="E459" s="94">
        <f t="shared" si="31"/>
        <v>10467575.564999999</v>
      </c>
      <c r="F459" s="95">
        <v>10467575.564999999</v>
      </c>
      <c r="G459" s="87"/>
      <c r="H459" s="87"/>
      <c r="I459" s="87"/>
      <c r="J459" s="94"/>
      <c r="K459" s="87"/>
      <c r="L459" s="87"/>
      <c r="M459" s="87"/>
    </row>
    <row r="460" spans="1:13" ht="15.75">
      <c r="A460" s="87">
        <v>8</v>
      </c>
      <c r="B460" s="96" t="s">
        <v>125</v>
      </c>
      <c r="C460" s="92">
        <v>4002215005369</v>
      </c>
      <c r="D460" s="93" t="s">
        <v>123</v>
      </c>
      <c r="E460" s="94">
        <f t="shared" si="31"/>
        <v>10394587.17</v>
      </c>
      <c r="F460" s="95">
        <v>10394587.17</v>
      </c>
      <c r="G460" s="87"/>
      <c r="H460" s="87"/>
      <c r="I460" s="87"/>
      <c r="J460" s="94"/>
      <c r="K460" s="87"/>
      <c r="L460" s="87"/>
      <c r="M460" s="93" t="s">
        <v>284</v>
      </c>
    </row>
    <row r="461" spans="1:13" ht="15.75">
      <c r="A461" s="87">
        <v>9</v>
      </c>
      <c r="B461" s="96" t="s">
        <v>33</v>
      </c>
      <c r="C461" s="98">
        <v>4002215013980</v>
      </c>
      <c r="D461" s="93" t="s">
        <v>123</v>
      </c>
      <c r="E461" s="94">
        <f t="shared" si="31"/>
        <v>10058565.350000001</v>
      </c>
      <c r="F461" s="95">
        <v>10058565.350000001</v>
      </c>
      <c r="G461" s="97"/>
      <c r="H461" s="87"/>
      <c r="I461" s="87"/>
      <c r="J461" s="94"/>
      <c r="K461" s="87"/>
      <c r="L461" s="87"/>
      <c r="M461" s="93" t="s">
        <v>284</v>
      </c>
    </row>
    <row r="462" spans="1:13" ht="15.75">
      <c r="A462" s="87">
        <v>10</v>
      </c>
      <c r="B462" s="96" t="s">
        <v>34</v>
      </c>
      <c r="C462" s="92">
        <v>4002215014006</v>
      </c>
      <c r="D462" s="93" t="s">
        <v>123</v>
      </c>
      <c r="E462" s="94">
        <f t="shared" si="31"/>
        <v>8786553.8400000017</v>
      </c>
      <c r="F462" s="95">
        <v>8786553.8400000017</v>
      </c>
      <c r="G462" s="87"/>
      <c r="H462" s="87"/>
      <c r="I462" s="87"/>
      <c r="J462" s="94"/>
      <c r="K462" s="87"/>
      <c r="L462" s="87"/>
      <c r="M462" s="93" t="s">
        <v>284</v>
      </c>
    </row>
    <row r="463" spans="1:13" ht="15.75">
      <c r="A463" s="87">
        <v>11</v>
      </c>
      <c r="B463" s="99" t="s">
        <v>36</v>
      </c>
      <c r="C463" s="98">
        <v>4002215020718</v>
      </c>
      <c r="D463" s="93" t="s">
        <v>123</v>
      </c>
      <c r="E463" s="94">
        <f t="shared" si="31"/>
        <v>9253615.1999999993</v>
      </c>
      <c r="F463" s="95">
        <v>9253615.1999999993</v>
      </c>
      <c r="G463" s="87"/>
      <c r="H463" s="87"/>
      <c r="I463" s="87"/>
      <c r="J463" s="94"/>
      <c r="K463" s="87"/>
      <c r="L463" s="87"/>
      <c r="M463" s="87"/>
    </row>
    <row r="464" spans="1:13" ht="15.75">
      <c r="A464" s="87">
        <v>12</v>
      </c>
      <c r="B464" s="96" t="s">
        <v>59</v>
      </c>
      <c r="C464" s="92">
        <v>4002215018587</v>
      </c>
      <c r="D464" s="93" t="s">
        <v>123</v>
      </c>
      <c r="E464" s="94">
        <f>SUM(F464:L464)</f>
        <v>6109968.4999999991</v>
      </c>
      <c r="F464" s="95">
        <v>6109968.4999999991</v>
      </c>
      <c r="G464" s="97"/>
      <c r="H464" s="87"/>
      <c r="I464" s="87"/>
      <c r="J464" s="94"/>
      <c r="K464" s="87"/>
      <c r="L464" s="87"/>
      <c r="M464" s="87"/>
    </row>
    <row r="465" spans="1:13" ht="15.75">
      <c r="A465" s="87">
        <v>13</v>
      </c>
      <c r="B465" s="96" t="s">
        <v>126</v>
      </c>
      <c r="C465" s="98">
        <v>4002215013945</v>
      </c>
      <c r="D465" s="93" t="s">
        <v>123</v>
      </c>
      <c r="E465" s="94">
        <f t="shared" ref="E465:E469" si="32">SUM(F465:L465)</f>
        <v>9519759</v>
      </c>
      <c r="F465" s="95">
        <v>9519759</v>
      </c>
      <c r="G465" s="87"/>
      <c r="H465" s="87"/>
      <c r="I465" s="87"/>
      <c r="J465" s="94"/>
      <c r="K465" s="87"/>
      <c r="L465" s="87"/>
      <c r="M465" s="87"/>
    </row>
    <row r="466" spans="1:13" ht="15.75">
      <c r="A466" s="87">
        <v>14</v>
      </c>
      <c r="B466" s="96" t="s">
        <v>37</v>
      </c>
      <c r="C466" s="98">
        <v>4002205015211</v>
      </c>
      <c r="D466" s="93" t="s">
        <v>123</v>
      </c>
      <c r="E466" s="94">
        <f t="shared" si="32"/>
        <v>8844163.1999999993</v>
      </c>
      <c r="F466" s="95">
        <v>8844163.1999999993</v>
      </c>
      <c r="G466" s="87"/>
      <c r="H466" s="87"/>
      <c r="I466" s="87"/>
      <c r="J466" s="94"/>
      <c r="K466" s="87"/>
      <c r="L466" s="87"/>
      <c r="M466" s="87"/>
    </row>
    <row r="467" spans="1:13" ht="15.75">
      <c r="A467" s="87">
        <v>15</v>
      </c>
      <c r="B467" s="96" t="s">
        <v>127</v>
      </c>
      <c r="C467" s="92">
        <v>4002215013793</v>
      </c>
      <c r="D467" s="93" t="s">
        <v>123</v>
      </c>
      <c r="E467" s="94">
        <f t="shared" si="32"/>
        <v>8786553.8400000017</v>
      </c>
      <c r="F467" s="95">
        <v>8786553.8400000017</v>
      </c>
      <c r="G467" s="87"/>
      <c r="H467" s="87"/>
      <c r="I467" s="87"/>
      <c r="J467" s="94"/>
      <c r="K467" s="87"/>
      <c r="L467" s="87"/>
      <c r="M467" s="87"/>
    </row>
    <row r="468" spans="1:13" ht="15.75">
      <c r="A468" s="87">
        <v>16</v>
      </c>
      <c r="B468" s="96" t="s">
        <v>38</v>
      </c>
      <c r="C468" s="98">
        <v>4002215013895</v>
      </c>
      <c r="D468" s="93" t="s">
        <v>123</v>
      </c>
      <c r="E468" s="94">
        <f t="shared" si="32"/>
        <v>8728944.4800000004</v>
      </c>
      <c r="F468" s="95">
        <v>8728944.4800000004</v>
      </c>
      <c r="G468" s="87"/>
      <c r="H468" s="87"/>
      <c r="I468" s="87"/>
      <c r="J468" s="94"/>
      <c r="K468" s="87"/>
      <c r="L468" s="87"/>
      <c r="M468" s="87"/>
    </row>
    <row r="469" spans="1:13" ht="15.75">
      <c r="A469" s="87">
        <v>17</v>
      </c>
      <c r="B469" s="96" t="s">
        <v>128</v>
      </c>
      <c r="C469" s="98">
        <v>4002215005483</v>
      </c>
      <c r="D469" s="93" t="s">
        <v>123</v>
      </c>
      <c r="E469" s="94">
        <f t="shared" si="32"/>
        <v>8728944.4800000004</v>
      </c>
      <c r="F469" s="95">
        <v>8728944.4800000004</v>
      </c>
      <c r="G469" s="87"/>
      <c r="H469" s="87"/>
      <c r="I469" s="87"/>
      <c r="J469" s="94"/>
      <c r="K469" s="87"/>
      <c r="L469" s="87"/>
      <c r="M469" s="87"/>
    </row>
    <row r="470" spans="1:13" ht="15.75">
      <c r="A470" s="87">
        <v>18</v>
      </c>
      <c r="B470" s="96" t="s">
        <v>91</v>
      </c>
      <c r="C470" s="100">
        <v>4001205046288</v>
      </c>
      <c r="D470" s="93" t="s">
        <v>129</v>
      </c>
      <c r="E470" s="94">
        <f>SUM(F470:L470)</f>
        <v>9091642.5150000025</v>
      </c>
      <c r="F470" s="101">
        <v>9091642.5150000025</v>
      </c>
      <c r="G470" s="87"/>
      <c r="H470" s="87"/>
      <c r="I470" s="87"/>
      <c r="J470" s="94"/>
      <c r="K470" s="87"/>
      <c r="L470" s="87"/>
      <c r="M470" s="87"/>
    </row>
    <row r="471" spans="1:13" ht="15.75">
      <c r="A471" s="87">
        <v>19</v>
      </c>
      <c r="B471" s="99" t="s">
        <v>39</v>
      </c>
      <c r="C471" s="98">
        <v>4002205007627</v>
      </c>
      <c r="D471" s="93" t="s">
        <v>123</v>
      </c>
      <c r="E471" s="94">
        <f t="shared" ref="E471:E488" si="33">SUM(F471:L471)</f>
        <v>8959381.9200000018</v>
      </c>
      <c r="F471" s="95">
        <v>8959381.9200000018</v>
      </c>
      <c r="G471" s="87"/>
      <c r="H471" s="87"/>
      <c r="I471" s="87"/>
      <c r="J471" s="94"/>
      <c r="K471" s="87"/>
      <c r="L471" s="87"/>
      <c r="M471" s="93" t="s">
        <v>284</v>
      </c>
    </row>
    <row r="472" spans="1:13" ht="15.75">
      <c r="A472" s="87">
        <v>20</v>
      </c>
      <c r="B472" s="96" t="s">
        <v>40</v>
      </c>
      <c r="C472" s="98">
        <v>4002205008006</v>
      </c>
      <c r="D472" s="93" t="s">
        <v>123</v>
      </c>
      <c r="E472" s="94">
        <f t="shared" si="33"/>
        <v>8304620.7900000019</v>
      </c>
      <c r="F472" s="95">
        <v>8304620.7900000019</v>
      </c>
      <c r="G472" s="87"/>
      <c r="H472" s="87"/>
      <c r="I472" s="87"/>
      <c r="J472" s="94"/>
      <c r="K472" s="87"/>
      <c r="L472" s="87"/>
      <c r="M472" s="87"/>
    </row>
    <row r="473" spans="1:13" ht="15.75">
      <c r="A473" s="87">
        <v>21</v>
      </c>
      <c r="B473" s="96" t="s">
        <v>130</v>
      </c>
      <c r="C473" s="102">
        <v>4002215013808</v>
      </c>
      <c r="D473" s="93" t="s">
        <v>123</v>
      </c>
      <c r="E473" s="94">
        <f t="shared" si="33"/>
        <v>8008941.4649999999</v>
      </c>
      <c r="F473" s="95">
        <v>8008941.4649999999</v>
      </c>
      <c r="G473" s="87"/>
      <c r="H473" s="87"/>
      <c r="I473" s="87"/>
      <c r="J473" s="94"/>
      <c r="K473" s="87"/>
      <c r="L473" s="87"/>
      <c r="M473" s="87"/>
    </row>
    <row r="474" spans="1:13" ht="15.75">
      <c r="A474" s="87">
        <v>22</v>
      </c>
      <c r="B474" s="99" t="s">
        <v>41</v>
      </c>
      <c r="C474" s="98">
        <v>4002215005490</v>
      </c>
      <c r="D474" s="93" t="s">
        <v>123</v>
      </c>
      <c r="E474" s="94">
        <f t="shared" si="33"/>
        <v>8008941.4649999999</v>
      </c>
      <c r="F474" s="95">
        <v>8008941.4649999999</v>
      </c>
      <c r="G474" s="97"/>
      <c r="H474" s="87"/>
      <c r="I474" s="87"/>
      <c r="J474" s="94"/>
      <c r="K474" s="87"/>
      <c r="L474" s="87"/>
      <c r="M474" s="87"/>
    </row>
    <row r="475" spans="1:13" ht="15.75">
      <c r="A475" s="87">
        <v>23</v>
      </c>
      <c r="B475" s="99" t="s">
        <v>42</v>
      </c>
      <c r="C475" s="98">
        <v>4002215005425</v>
      </c>
      <c r="D475" s="93" t="s">
        <v>123</v>
      </c>
      <c r="E475" s="94">
        <f t="shared" si="33"/>
        <v>8157941.4649999999</v>
      </c>
      <c r="F475" s="95">
        <v>8157941.4649999999</v>
      </c>
      <c r="G475" s="87"/>
      <c r="H475" s="87"/>
      <c r="I475" s="87"/>
      <c r="J475" s="94"/>
      <c r="K475" s="87"/>
      <c r="L475" s="87"/>
      <c r="M475" s="87"/>
    </row>
    <row r="476" spans="1:13" ht="15" customHeight="1">
      <c r="A476" s="87">
        <v>24</v>
      </c>
      <c r="B476" s="87" t="s">
        <v>131</v>
      </c>
      <c r="C476" s="92">
        <v>4002215005280</v>
      </c>
      <c r="D476" s="93" t="s">
        <v>123</v>
      </c>
      <c r="E476" s="94">
        <f t="shared" si="33"/>
        <v>7955732.8200000003</v>
      </c>
      <c r="F476" s="95">
        <v>7955732.8200000003</v>
      </c>
      <c r="G476" s="87"/>
      <c r="H476" s="87"/>
      <c r="I476" s="87"/>
      <c r="J476" s="94"/>
      <c r="K476" s="87"/>
      <c r="L476" s="87"/>
      <c r="M476" s="87"/>
    </row>
    <row r="477" spans="1:13" ht="15" customHeight="1">
      <c r="A477" s="87">
        <v>25</v>
      </c>
      <c r="B477" s="96" t="s">
        <v>43</v>
      </c>
      <c r="C477" s="92">
        <v>4002215024731</v>
      </c>
      <c r="D477" s="93" t="s">
        <v>123</v>
      </c>
      <c r="E477" s="94">
        <f t="shared" si="33"/>
        <v>7955732.8200000003</v>
      </c>
      <c r="F477" s="95">
        <v>7955732.8200000003</v>
      </c>
      <c r="G477" s="87"/>
      <c r="H477" s="87"/>
      <c r="I477" s="87"/>
      <c r="J477" s="94"/>
      <c r="K477" s="87"/>
      <c r="L477" s="87"/>
      <c r="M477" s="87"/>
    </row>
    <row r="478" spans="1:13" ht="15" customHeight="1">
      <c r="A478" s="87">
        <v>26</v>
      </c>
      <c r="B478" s="96" t="s">
        <v>58</v>
      </c>
      <c r="C478" s="98">
        <v>4002205100941</v>
      </c>
      <c r="D478" s="93" t="s">
        <v>123</v>
      </c>
      <c r="E478" s="94">
        <f t="shared" si="33"/>
        <v>6417710.8649999993</v>
      </c>
      <c r="F478" s="95">
        <v>6417710.8649999993</v>
      </c>
      <c r="G478" s="87"/>
      <c r="H478" s="87"/>
      <c r="I478" s="87"/>
      <c r="J478" s="94"/>
      <c r="K478" s="87"/>
      <c r="L478" s="87"/>
      <c r="M478" s="87"/>
    </row>
    <row r="479" spans="1:13" ht="15" customHeight="1">
      <c r="A479" s="87">
        <v>27</v>
      </c>
      <c r="B479" s="96" t="s">
        <v>44</v>
      </c>
      <c r="C479" s="92">
        <v>4002205008330</v>
      </c>
      <c r="D479" s="93" t="s">
        <v>123</v>
      </c>
      <c r="E479" s="94">
        <f t="shared" si="33"/>
        <v>7902524.1749999998</v>
      </c>
      <c r="F479" s="95">
        <v>7902524.1749999998</v>
      </c>
      <c r="G479" s="97"/>
      <c r="H479" s="87"/>
      <c r="I479" s="87"/>
      <c r="J479" s="94"/>
      <c r="K479" s="87"/>
      <c r="L479" s="87"/>
      <c r="M479" s="87"/>
    </row>
    <row r="480" spans="1:13" ht="15" customHeight="1">
      <c r="A480" s="87">
        <v>28</v>
      </c>
      <c r="B480" s="87" t="s">
        <v>132</v>
      </c>
      <c r="C480" s="100">
        <v>4002215005323</v>
      </c>
      <c r="D480" s="93" t="s">
        <v>123</v>
      </c>
      <c r="E480" s="94">
        <f t="shared" si="33"/>
        <v>3779711.653846154</v>
      </c>
      <c r="F480" s="104">
        <v>3779711.653846154</v>
      </c>
      <c r="G480" s="87"/>
      <c r="H480" s="87"/>
      <c r="I480" s="87"/>
      <c r="J480" s="94"/>
      <c r="K480" s="87"/>
      <c r="L480" s="87"/>
      <c r="M480" s="120" t="s">
        <v>285</v>
      </c>
    </row>
    <row r="481" spans="1:20" ht="15" customHeight="1">
      <c r="A481" s="87">
        <v>29</v>
      </c>
      <c r="B481" s="99" t="s">
        <v>46</v>
      </c>
      <c r="C481" s="105">
        <v>4002215005510</v>
      </c>
      <c r="D481" s="93" t="s">
        <v>123</v>
      </c>
      <c r="E481" s="94">
        <f t="shared" si="33"/>
        <v>7815646</v>
      </c>
      <c r="F481" s="104">
        <v>7815646</v>
      </c>
      <c r="G481" s="87"/>
      <c r="H481" s="87"/>
      <c r="I481" s="87"/>
      <c r="J481" s="94"/>
      <c r="K481" s="87"/>
      <c r="L481" s="87"/>
      <c r="M481" s="87"/>
    </row>
    <row r="482" spans="1:20" ht="15" customHeight="1">
      <c r="A482" s="87">
        <v>30</v>
      </c>
      <c r="B482" s="96" t="s">
        <v>47</v>
      </c>
      <c r="C482" s="98">
        <v>4002215013889</v>
      </c>
      <c r="D482" s="93" t="s">
        <v>123</v>
      </c>
      <c r="E482" s="94">
        <f t="shared" si="33"/>
        <v>7955732.8200000003</v>
      </c>
      <c r="F482" s="104">
        <v>7955732.8200000003</v>
      </c>
      <c r="G482" s="87"/>
      <c r="H482" s="87"/>
      <c r="I482" s="87"/>
      <c r="J482" s="94"/>
      <c r="K482" s="87"/>
      <c r="L482" s="87"/>
      <c r="M482" s="93" t="s">
        <v>284</v>
      </c>
    </row>
    <row r="483" spans="1:20" ht="15" customHeight="1">
      <c r="A483" s="87">
        <v>31</v>
      </c>
      <c r="B483" s="96" t="s">
        <v>48</v>
      </c>
      <c r="C483" s="92">
        <v>4002215005346</v>
      </c>
      <c r="D483" s="93" t="s">
        <v>123</v>
      </c>
      <c r="E483" s="94">
        <f t="shared" si="33"/>
        <v>7151316.0900000008</v>
      </c>
      <c r="F483" s="104">
        <v>7151316.0900000008</v>
      </c>
      <c r="G483" s="87"/>
      <c r="H483" s="87"/>
      <c r="I483" s="87"/>
      <c r="J483" s="94"/>
      <c r="K483" s="87"/>
      <c r="L483" s="87"/>
      <c r="M483" s="87"/>
    </row>
    <row r="484" spans="1:20" ht="15" customHeight="1">
      <c r="A484" s="87">
        <v>32</v>
      </c>
      <c r="B484" s="96" t="s">
        <v>92</v>
      </c>
      <c r="C484" s="98">
        <v>4002215021438</v>
      </c>
      <c r="D484" s="93" t="s">
        <v>123</v>
      </c>
      <c r="E484" s="94">
        <f t="shared" si="33"/>
        <v>6373303.6500000004</v>
      </c>
      <c r="F484" s="104">
        <v>6373303.6500000004</v>
      </c>
      <c r="G484" s="87"/>
      <c r="H484" s="87"/>
      <c r="I484" s="87"/>
      <c r="J484" s="94"/>
      <c r="K484" s="87"/>
      <c r="L484" s="87"/>
      <c r="M484" s="87"/>
    </row>
    <row r="485" spans="1:20" ht="15" customHeight="1">
      <c r="A485" s="87">
        <v>33</v>
      </c>
      <c r="B485" s="96" t="s">
        <v>93</v>
      </c>
      <c r="C485" s="98">
        <v>4002205007265</v>
      </c>
      <c r="D485" s="93" t="s">
        <v>123</v>
      </c>
      <c r="E485" s="94">
        <f t="shared" si="33"/>
        <v>7053700.2299999986</v>
      </c>
      <c r="F485" s="104">
        <v>7053700.2299999986</v>
      </c>
      <c r="G485" s="87"/>
      <c r="H485" s="87"/>
      <c r="I485" s="87"/>
      <c r="J485" s="94"/>
      <c r="K485" s="87"/>
      <c r="L485" s="87"/>
      <c r="M485" s="87"/>
    </row>
    <row r="486" spans="1:20" ht="15" customHeight="1">
      <c r="A486" s="87">
        <v>34</v>
      </c>
      <c r="B486" s="96" t="s">
        <v>95</v>
      </c>
      <c r="C486" s="100">
        <v>4009205061263</v>
      </c>
      <c r="D486" s="106" t="s">
        <v>133</v>
      </c>
      <c r="E486" s="104">
        <f t="shared" si="33"/>
        <v>5341650</v>
      </c>
      <c r="F486" s="104">
        <v>5341650</v>
      </c>
      <c r="G486" s="87"/>
      <c r="H486" s="87"/>
      <c r="I486" s="87"/>
      <c r="J486" s="94"/>
      <c r="K486" s="87"/>
      <c r="L486" s="87"/>
      <c r="M486" s="87"/>
    </row>
    <row r="487" spans="1:20" ht="15" customHeight="1">
      <c r="A487" s="87">
        <v>35</v>
      </c>
      <c r="B487" s="96" t="s">
        <v>49</v>
      </c>
      <c r="C487" s="100">
        <v>4002215005330</v>
      </c>
      <c r="D487" s="93" t="s">
        <v>123</v>
      </c>
      <c r="E487" s="94">
        <f t="shared" si="33"/>
        <v>4752057</v>
      </c>
      <c r="F487" s="104">
        <v>4752057</v>
      </c>
      <c r="G487" s="87"/>
      <c r="H487" s="87"/>
      <c r="I487" s="87"/>
      <c r="J487" s="94"/>
      <c r="K487" s="87"/>
      <c r="L487" s="87"/>
      <c r="M487" s="87"/>
    </row>
    <row r="488" spans="1:20" ht="15" customHeight="1">
      <c r="A488" s="87">
        <v>36</v>
      </c>
      <c r="B488" s="96" t="s">
        <v>50</v>
      </c>
      <c r="C488" s="100">
        <v>4002215013758</v>
      </c>
      <c r="D488" s="93" t="s">
        <v>123</v>
      </c>
      <c r="E488" s="94">
        <f t="shared" si="33"/>
        <v>4111953</v>
      </c>
      <c r="F488" s="104">
        <v>4111953</v>
      </c>
      <c r="G488" s="87"/>
      <c r="H488" s="87"/>
      <c r="I488" s="87"/>
      <c r="J488" s="94"/>
      <c r="K488" s="87"/>
      <c r="L488" s="87"/>
      <c r="M488" s="87"/>
    </row>
    <row r="489" spans="1:20">
      <c r="A489" s="90" t="s">
        <v>134</v>
      </c>
      <c r="B489" s="88" t="s">
        <v>135</v>
      </c>
      <c r="C489" s="107"/>
      <c r="D489" s="103"/>
      <c r="E489" s="89">
        <f>E490</f>
        <v>3508400</v>
      </c>
      <c r="F489" s="89"/>
      <c r="G489" s="89">
        <f>G490</f>
        <v>3508400</v>
      </c>
      <c r="H489" s="87"/>
      <c r="I489" s="87"/>
      <c r="J489" s="89"/>
      <c r="K489" s="87"/>
      <c r="L489" s="87"/>
      <c r="M489" s="87"/>
    </row>
    <row r="490" spans="1:20" ht="14.25" customHeight="1">
      <c r="A490" s="87">
        <v>1</v>
      </c>
      <c r="B490" s="96" t="s">
        <v>51</v>
      </c>
      <c r="C490" s="100">
        <v>4002205034012</v>
      </c>
      <c r="D490" s="93" t="s">
        <v>123</v>
      </c>
      <c r="E490" s="108">
        <f>F490+G490+J490</f>
        <v>3508400</v>
      </c>
      <c r="F490" s="104"/>
      <c r="G490" s="104">
        <v>3508400</v>
      </c>
      <c r="H490" s="87"/>
      <c r="I490" s="87"/>
      <c r="J490" s="94"/>
      <c r="K490" s="87"/>
      <c r="L490" s="87"/>
      <c r="M490" s="87"/>
    </row>
    <row r="491" spans="1:20">
      <c r="A491" s="88" t="s">
        <v>136</v>
      </c>
      <c r="B491" s="109" t="s">
        <v>137</v>
      </c>
      <c r="C491" s="110"/>
      <c r="D491" s="87"/>
      <c r="E491" s="88">
        <v>0</v>
      </c>
      <c r="F491" s="88">
        <v>0</v>
      </c>
      <c r="G491" s="87"/>
      <c r="H491" s="87"/>
      <c r="I491" s="87"/>
      <c r="J491" s="94"/>
      <c r="K491" s="87"/>
      <c r="L491" s="87"/>
      <c r="M491" s="87"/>
    </row>
    <row r="492" spans="1:20">
      <c r="A492" s="1" t="s">
        <v>100</v>
      </c>
      <c r="C492" s="210" t="s">
        <v>275</v>
      </c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</row>
    <row r="493" spans="1:20" ht="14.25" customHeight="1">
      <c r="A493" s="111" t="s">
        <v>138</v>
      </c>
      <c r="B493" s="111"/>
      <c r="C493" s="111"/>
      <c r="D493" s="111"/>
      <c r="E493" s="111"/>
      <c r="F493" s="111"/>
      <c r="G493" s="111"/>
      <c r="H493" s="82"/>
      <c r="I493" s="82"/>
      <c r="J493" s="82"/>
      <c r="K493" s="82"/>
      <c r="L493" s="82"/>
      <c r="M493" s="82"/>
    </row>
    <row r="494" spans="1:20" ht="15.75">
      <c r="A494" s="112" t="s">
        <v>257</v>
      </c>
      <c r="B494" s="112"/>
      <c r="C494" s="113">
        <f>C426</f>
        <v>306736358.78090012</v>
      </c>
      <c r="D494" s="258" t="s">
        <v>246</v>
      </c>
      <c r="E494" s="258"/>
      <c r="F494" s="258"/>
      <c r="G494" s="258"/>
      <c r="H494" s="259" t="s">
        <v>261</v>
      </c>
      <c r="I494" s="259"/>
      <c r="J494" s="259"/>
      <c r="K494" s="114"/>
      <c r="L494" s="114"/>
      <c r="M494" s="82"/>
    </row>
    <row r="495" spans="1:20">
      <c r="A495" s="242" t="s">
        <v>139</v>
      </c>
      <c r="B495" s="242"/>
      <c r="C495" s="115">
        <v>369260</v>
      </c>
      <c r="D495" s="112" t="s">
        <v>140</v>
      </c>
      <c r="E495" s="112"/>
      <c r="F495" s="112"/>
      <c r="G495" s="243" t="s">
        <v>279</v>
      </c>
      <c r="H495" s="243"/>
      <c r="I495" s="243"/>
      <c r="J495" s="243"/>
      <c r="K495" s="243"/>
      <c r="L495" s="243"/>
      <c r="M495" s="243"/>
    </row>
    <row r="496" spans="1:20" ht="15.75" customHeight="1">
      <c r="A496" s="242" t="s">
        <v>141</v>
      </c>
      <c r="B496" s="242"/>
      <c r="C496" s="8">
        <v>1034404</v>
      </c>
      <c r="D496" s="243" t="s">
        <v>286</v>
      </c>
      <c r="E496" s="243"/>
      <c r="F496" s="243"/>
      <c r="G496" s="243" t="s">
        <v>280</v>
      </c>
      <c r="H496" s="243"/>
      <c r="I496" s="243"/>
      <c r="J496" s="243"/>
      <c r="K496" s="243"/>
      <c r="L496" s="243"/>
      <c r="M496" s="243"/>
    </row>
    <row r="497" spans="1:13">
      <c r="A497" s="112" t="s">
        <v>277</v>
      </c>
      <c r="B497" s="112"/>
      <c r="C497" s="119">
        <f>C494+C495-C496</f>
        <v>306071214.78090012</v>
      </c>
      <c r="D497" s="154" t="s">
        <v>265</v>
      </c>
      <c r="E497" s="154"/>
      <c r="F497" s="154"/>
      <c r="G497" s="243" t="s">
        <v>288</v>
      </c>
      <c r="H497" s="243"/>
      <c r="I497" s="243"/>
      <c r="J497" s="243"/>
      <c r="K497" s="243"/>
      <c r="L497" s="243"/>
      <c r="M497" s="243"/>
    </row>
    <row r="498" spans="1:13">
      <c r="A498" s="112"/>
      <c r="B498" s="112"/>
      <c r="C498" s="119"/>
      <c r="D498" s="161"/>
      <c r="E498" s="161"/>
      <c r="F498" s="161"/>
      <c r="G498" s="243" t="s">
        <v>281</v>
      </c>
      <c r="H498" s="243"/>
      <c r="I498" s="243"/>
      <c r="J498" s="243"/>
      <c r="K498" s="243"/>
      <c r="L498" s="243"/>
      <c r="M498" s="243"/>
    </row>
    <row r="499" spans="1:13">
      <c r="A499" s="112"/>
      <c r="B499" s="112"/>
      <c r="C499" s="119"/>
      <c r="D499" s="161"/>
      <c r="E499" s="161"/>
      <c r="F499" s="161"/>
      <c r="G499" s="243" t="s">
        <v>282</v>
      </c>
      <c r="H499" s="243"/>
      <c r="I499" s="243"/>
      <c r="J499" s="243"/>
      <c r="K499" s="243"/>
      <c r="L499" s="243"/>
      <c r="M499" s="243"/>
    </row>
    <row r="500" spans="1:13">
      <c r="A500" s="112"/>
      <c r="B500" s="112"/>
      <c r="C500" s="119"/>
      <c r="D500" s="161"/>
      <c r="E500" s="161"/>
      <c r="F500" s="161"/>
      <c r="G500" s="243" t="s">
        <v>278</v>
      </c>
      <c r="H500" s="243"/>
      <c r="I500" s="243"/>
      <c r="J500" s="243"/>
      <c r="K500" s="243"/>
      <c r="L500" s="243"/>
      <c r="M500" s="243"/>
    </row>
    <row r="501" spans="1:13" ht="13.5" customHeight="1">
      <c r="A501" s="163"/>
      <c r="B501" s="163"/>
      <c r="C501" s="163"/>
      <c r="D501" s="163"/>
      <c r="E501" s="115"/>
      <c r="F501" s="82"/>
      <c r="G501" s="82"/>
      <c r="H501" s="241" t="s">
        <v>287</v>
      </c>
      <c r="I501" s="241"/>
      <c r="J501" s="241"/>
      <c r="K501" s="241"/>
      <c r="L501" s="241"/>
      <c r="M501" s="241"/>
    </row>
    <row r="502" spans="1:13" ht="15.75">
      <c r="A502" s="82"/>
      <c r="B502" s="82"/>
      <c r="C502" s="239" t="s">
        <v>142</v>
      </c>
      <c r="D502" s="239"/>
      <c r="E502" s="239" t="s">
        <v>79</v>
      </c>
      <c r="F502" s="239"/>
      <c r="G502" s="239"/>
      <c r="H502" s="239" t="s">
        <v>143</v>
      </c>
      <c r="I502" s="239"/>
      <c r="J502" s="239"/>
      <c r="K502" s="239"/>
      <c r="L502" s="239"/>
      <c r="M502" s="239"/>
    </row>
    <row r="503" spans="1:13">
      <c r="A503" s="82"/>
      <c r="B503" s="82"/>
      <c r="C503" s="242" t="s">
        <v>144</v>
      </c>
      <c r="D503" s="242"/>
      <c r="E503" s="242" t="s">
        <v>145</v>
      </c>
      <c r="F503" s="242"/>
      <c r="G503" s="242"/>
      <c r="H503" s="242" t="s">
        <v>146</v>
      </c>
      <c r="I503" s="242"/>
      <c r="J503" s="242"/>
      <c r="K503" s="242"/>
      <c r="L503" s="242"/>
      <c r="M503" s="242"/>
    </row>
    <row r="504" spans="1:13">
      <c r="A504" s="82"/>
      <c r="B504" s="82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</row>
    <row r="505" spans="1:13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</row>
    <row r="506" spans="1:13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</row>
    <row r="507" spans="1:13" ht="15.75">
      <c r="A507" s="82"/>
      <c r="B507" s="82"/>
      <c r="C507" s="239" t="s">
        <v>59</v>
      </c>
      <c r="D507" s="239"/>
      <c r="E507" s="239" t="s">
        <v>59</v>
      </c>
      <c r="F507" s="239"/>
      <c r="G507" s="239"/>
      <c r="H507" s="239" t="s">
        <v>60</v>
      </c>
      <c r="I507" s="239"/>
      <c r="J507" s="239"/>
      <c r="K507" s="239"/>
      <c r="L507" s="239"/>
      <c r="M507" s="239"/>
    </row>
    <row r="508" spans="1:13" ht="13.5" customHeight="1">
      <c r="A508" s="240" t="s">
        <v>147</v>
      </c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</row>
    <row r="509" spans="1:13" ht="12.75" customHeight="1">
      <c r="A509" s="82"/>
      <c r="B509" s="82"/>
      <c r="C509" s="82"/>
      <c r="D509" s="82"/>
      <c r="E509" s="82"/>
      <c r="F509" s="82"/>
      <c r="G509" s="241" t="s">
        <v>157</v>
      </c>
      <c r="H509" s="241"/>
      <c r="I509" s="241"/>
      <c r="J509" s="241"/>
      <c r="K509" s="241"/>
      <c r="L509" s="241"/>
      <c r="M509" s="241"/>
    </row>
    <row r="510" spans="1:13" ht="15.75">
      <c r="A510" s="82"/>
      <c r="B510" s="240" t="s">
        <v>148</v>
      </c>
      <c r="C510" s="240"/>
      <c r="D510" s="240"/>
      <c r="E510" s="240"/>
      <c r="F510" s="240"/>
      <c r="G510" s="239" t="s">
        <v>149</v>
      </c>
      <c r="H510" s="239"/>
      <c r="I510" s="239"/>
      <c r="J510" s="239"/>
      <c r="K510" s="239"/>
      <c r="L510" s="239"/>
      <c r="M510" s="239"/>
    </row>
    <row r="511" spans="1:13" ht="15.75">
      <c r="A511" s="82"/>
      <c r="B511" s="158"/>
      <c r="C511" s="158"/>
      <c r="D511" s="158"/>
      <c r="E511" s="158"/>
      <c r="F511" s="158"/>
      <c r="G511" s="159"/>
      <c r="H511" s="159"/>
      <c r="I511" s="159"/>
      <c r="J511" s="159"/>
      <c r="K511" s="159"/>
      <c r="L511" s="159"/>
      <c r="M511" s="159"/>
    </row>
    <row r="513" spans="1:13" ht="18.75">
      <c r="A513" s="253" t="s">
        <v>102</v>
      </c>
      <c r="B513" s="253"/>
      <c r="C513" s="253"/>
      <c r="D513" s="253"/>
      <c r="E513" s="253"/>
      <c r="F513" s="253"/>
      <c r="G513" s="253"/>
      <c r="H513" s="253"/>
      <c r="I513" s="253"/>
      <c r="J513" s="253"/>
      <c r="K513" s="242" t="s">
        <v>103</v>
      </c>
      <c r="L513" s="242"/>
      <c r="M513" s="81"/>
    </row>
    <row r="514" spans="1:13" ht="18.75">
      <c r="A514" s="254" t="s">
        <v>292</v>
      </c>
      <c r="B514" s="254"/>
      <c r="C514" s="254"/>
      <c r="D514" s="254"/>
      <c r="E514" s="254"/>
      <c r="F514" s="254"/>
      <c r="G514" s="254"/>
      <c r="H514" s="254"/>
      <c r="I514" s="254"/>
      <c r="J514" s="254"/>
      <c r="K514" s="255" t="s">
        <v>215</v>
      </c>
      <c r="L514" s="255"/>
      <c r="M514" s="82"/>
    </row>
    <row r="515" spans="1:13" ht="18.75">
      <c r="A515" s="169"/>
      <c r="B515" s="169"/>
      <c r="C515" s="254" t="s">
        <v>104</v>
      </c>
      <c r="D515" s="254"/>
      <c r="E515" s="254"/>
      <c r="F515" s="254"/>
      <c r="G515" s="254"/>
      <c r="H515" s="254"/>
      <c r="I515" s="254"/>
      <c r="J515" s="169"/>
      <c r="K515" s="169"/>
      <c r="L515" s="169"/>
      <c r="M515" s="82"/>
    </row>
    <row r="516" spans="1:13" ht="16.5">
      <c r="A516" s="256" t="s">
        <v>105</v>
      </c>
      <c r="B516" s="256"/>
      <c r="C516" s="256"/>
      <c r="D516" s="256"/>
      <c r="E516" s="256"/>
      <c r="F516" s="256"/>
      <c r="G516" s="256"/>
      <c r="H516" s="256"/>
      <c r="I516" s="256"/>
      <c r="J516" s="256"/>
      <c r="K516" s="256"/>
      <c r="L516" s="256"/>
      <c r="M516" s="82"/>
    </row>
    <row r="517" spans="1:13" ht="16.5">
      <c r="A517" s="256" t="s">
        <v>106</v>
      </c>
      <c r="B517" s="256"/>
      <c r="C517" s="256"/>
      <c r="D517" s="256"/>
      <c r="E517" s="256"/>
      <c r="F517" s="256"/>
      <c r="G517" s="256"/>
      <c r="H517" s="256"/>
      <c r="I517" s="256"/>
      <c r="J517" s="256"/>
      <c r="K517" s="256"/>
      <c r="L517" s="256"/>
      <c r="M517" s="82"/>
    </row>
    <row r="518" spans="1:13" ht="16.5">
      <c r="A518" s="256" t="s">
        <v>107</v>
      </c>
      <c r="B518" s="256"/>
      <c r="C518" s="256"/>
      <c r="D518" s="256"/>
      <c r="E518" s="256"/>
      <c r="F518" s="256"/>
      <c r="G518" s="256"/>
      <c r="H518" s="256"/>
      <c r="I518" s="256"/>
      <c r="J518" s="256"/>
      <c r="K518" s="256"/>
      <c r="L518" s="256"/>
      <c r="M518" s="82"/>
    </row>
    <row r="519" spans="1:13" ht="15.75">
      <c r="A519" s="257" t="s">
        <v>293</v>
      </c>
      <c r="B519" s="257"/>
      <c r="C519" s="257"/>
      <c r="D519" s="257"/>
      <c r="E519" s="257"/>
      <c r="F519" s="257"/>
      <c r="G519" s="257"/>
      <c r="H519" s="257"/>
      <c r="I519" s="257"/>
      <c r="J519" s="257"/>
      <c r="K519" s="257"/>
      <c r="L519" s="257"/>
      <c r="M519" s="82"/>
    </row>
    <row r="520" spans="1:13">
      <c r="A520" s="245" t="s">
        <v>0</v>
      </c>
      <c r="B520" s="247" t="s">
        <v>108</v>
      </c>
      <c r="C520" s="249" t="s">
        <v>109</v>
      </c>
      <c r="D520" s="249"/>
      <c r="E520" s="247" t="s">
        <v>110</v>
      </c>
      <c r="F520" s="250" t="s">
        <v>111</v>
      </c>
      <c r="G520" s="251"/>
      <c r="H520" s="251"/>
      <c r="I520" s="251"/>
      <c r="J520" s="251"/>
      <c r="K520" s="251"/>
      <c r="L520" s="252"/>
      <c r="M520" s="247" t="s">
        <v>57</v>
      </c>
    </row>
    <row r="521" spans="1:13" ht="42">
      <c r="A521" s="246"/>
      <c r="B521" s="248"/>
      <c r="C521" s="84" t="s">
        <v>112</v>
      </c>
      <c r="D521" s="84" t="s">
        <v>113</v>
      </c>
      <c r="E521" s="248"/>
      <c r="F521" s="84" t="s">
        <v>114</v>
      </c>
      <c r="G521" s="85" t="s">
        <v>115</v>
      </c>
      <c r="H521" s="85" t="s">
        <v>116</v>
      </c>
      <c r="I521" s="84" t="s">
        <v>117</v>
      </c>
      <c r="J521" s="84" t="s">
        <v>118</v>
      </c>
      <c r="K521" s="84" t="s">
        <v>119</v>
      </c>
      <c r="L521" s="84" t="s">
        <v>120</v>
      </c>
      <c r="M521" s="248"/>
    </row>
    <row r="522" spans="1:13">
      <c r="A522" s="86">
        <v>1</v>
      </c>
      <c r="B522" s="86">
        <v>2</v>
      </c>
      <c r="C522" s="86">
        <v>3</v>
      </c>
      <c r="D522" s="86"/>
      <c r="E522" s="86">
        <v>4</v>
      </c>
      <c r="F522" s="86">
        <v>5</v>
      </c>
      <c r="G522" s="86">
        <v>6</v>
      </c>
      <c r="H522" s="86">
        <v>7</v>
      </c>
      <c r="I522" s="86">
        <v>8</v>
      </c>
      <c r="J522" s="86">
        <v>9</v>
      </c>
      <c r="K522" s="86">
        <v>10</v>
      </c>
      <c r="L522" s="86">
        <v>11</v>
      </c>
      <c r="M522" s="86">
        <v>12</v>
      </c>
    </row>
    <row r="523" spans="1:13">
      <c r="A523" s="87"/>
      <c r="B523" s="88" t="s">
        <v>110</v>
      </c>
      <c r="C523" s="87"/>
      <c r="D523" s="87"/>
      <c r="E523" s="89">
        <f>E524+E561+E563</f>
        <v>307105619.11439997</v>
      </c>
      <c r="F523" s="89">
        <f>F524+F561+F563</f>
        <v>303597219.11439997</v>
      </c>
      <c r="G523" s="89">
        <f t="shared" ref="G523:J523" si="34">G524+G561+G563</f>
        <v>3508400</v>
      </c>
      <c r="H523" s="89">
        <f t="shared" si="34"/>
        <v>0</v>
      </c>
      <c r="I523" s="89">
        <f t="shared" si="34"/>
        <v>0</v>
      </c>
      <c r="J523" s="89">
        <f t="shared" si="34"/>
        <v>0</v>
      </c>
      <c r="K523" s="87"/>
      <c r="L523" s="87"/>
      <c r="M523" s="87"/>
    </row>
    <row r="524" spans="1:13">
      <c r="A524" s="90" t="s">
        <v>121</v>
      </c>
      <c r="B524" s="88" t="s">
        <v>122</v>
      </c>
      <c r="C524" s="87"/>
      <c r="D524" s="87"/>
      <c r="E524" s="89">
        <f>SUM(E525:E560)</f>
        <v>303597219.11439997</v>
      </c>
      <c r="F524" s="89">
        <f>SUM(F525:F560)</f>
        <v>303597219.11439997</v>
      </c>
      <c r="G524" s="89">
        <f t="shared" ref="G524:J524" si="35">SUM(G525:G560)</f>
        <v>0</v>
      </c>
      <c r="H524" s="89">
        <f t="shared" si="35"/>
        <v>0</v>
      </c>
      <c r="I524" s="89">
        <f t="shared" si="35"/>
        <v>0</v>
      </c>
      <c r="J524" s="89">
        <f t="shared" si="35"/>
        <v>0</v>
      </c>
      <c r="K524" s="87"/>
      <c r="L524" s="87"/>
      <c r="M524" s="87"/>
    </row>
    <row r="525" spans="1:13" ht="15.75">
      <c r="A525" s="87">
        <v>1</v>
      </c>
      <c r="B525" s="91" t="s">
        <v>60</v>
      </c>
      <c r="C525" s="92">
        <v>4002205008058</v>
      </c>
      <c r="D525" s="93" t="s">
        <v>123</v>
      </c>
      <c r="E525" s="94">
        <f>SUM(F525:L525)</f>
        <v>11379448.859999999</v>
      </c>
      <c r="F525" s="95">
        <v>11379448.859999999</v>
      </c>
      <c r="G525" s="87"/>
      <c r="H525" s="87"/>
      <c r="I525" s="87"/>
      <c r="J525" s="94"/>
      <c r="K525" s="87"/>
      <c r="L525" s="87"/>
      <c r="M525" s="87"/>
    </row>
    <row r="526" spans="1:13" ht="15.75">
      <c r="A526" s="87">
        <v>2</v>
      </c>
      <c r="B526" s="96" t="s">
        <v>28</v>
      </c>
      <c r="C526" s="92">
        <v>4002215013939</v>
      </c>
      <c r="D526" s="93" t="s">
        <v>123</v>
      </c>
      <c r="E526" s="94">
        <f t="shared" ref="E526:E535" si="36">SUM(F526:L526)</f>
        <v>11335386.907800004</v>
      </c>
      <c r="F526" s="95">
        <v>11335386.907800004</v>
      </c>
      <c r="G526" s="87"/>
      <c r="H526" s="87"/>
      <c r="I526" s="87"/>
      <c r="J526" s="94"/>
      <c r="K526" s="87"/>
      <c r="L526" s="87"/>
      <c r="M526" s="87"/>
    </row>
    <row r="527" spans="1:13" ht="15.75">
      <c r="A527" s="87">
        <v>3</v>
      </c>
      <c r="B527" s="96" t="s">
        <v>30</v>
      </c>
      <c r="C527" s="92">
        <v>4002205008353</v>
      </c>
      <c r="D527" s="93" t="s">
        <v>123</v>
      </c>
      <c r="E527" s="94">
        <f t="shared" si="36"/>
        <v>11057510.52</v>
      </c>
      <c r="F527" s="95">
        <v>11057510.52</v>
      </c>
      <c r="G527" s="87"/>
      <c r="H527" s="87"/>
      <c r="I527" s="87"/>
      <c r="J527" s="94"/>
      <c r="K527" s="87"/>
      <c r="L527" s="87"/>
      <c r="M527" s="87"/>
    </row>
    <row r="528" spans="1:13" ht="15.75">
      <c r="A528" s="87">
        <v>4</v>
      </c>
      <c r="B528" s="96" t="s">
        <v>32</v>
      </c>
      <c r="C528" s="92">
        <v>4002205007706</v>
      </c>
      <c r="D528" s="93" t="s">
        <v>123</v>
      </c>
      <c r="E528" s="94">
        <f t="shared" si="36"/>
        <v>11331769.828500003</v>
      </c>
      <c r="F528" s="95">
        <v>11331769.828500003</v>
      </c>
      <c r="G528" s="97"/>
      <c r="H528" s="87"/>
      <c r="I528" s="87"/>
      <c r="J528" s="94"/>
      <c r="K528" s="87"/>
      <c r="L528" s="87"/>
      <c r="M528" s="87"/>
    </row>
    <row r="529" spans="1:13" ht="15.75">
      <c r="A529" s="87">
        <v>5</v>
      </c>
      <c r="B529" s="96" t="s">
        <v>124</v>
      </c>
      <c r="C529" s="92">
        <v>4002205007577</v>
      </c>
      <c r="D529" s="93" t="s">
        <v>123</v>
      </c>
      <c r="E529" s="94">
        <f t="shared" si="36"/>
        <v>11834568.153100003</v>
      </c>
      <c r="F529" s="95">
        <v>11834568.153100003</v>
      </c>
      <c r="G529" s="87"/>
      <c r="H529" s="87"/>
      <c r="I529" s="87"/>
      <c r="J529" s="94"/>
      <c r="K529" s="87"/>
      <c r="L529" s="87"/>
      <c r="M529" s="87"/>
    </row>
    <row r="530" spans="1:13" ht="15.75">
      <c r="A530" s="87">
        <v>6</v>
      </c>
      <c r="B530" s="96" t="s">
        <v>84</v>
      </c>
      <c r="C530" s="92">
        <v>4002205099727</v>
      </c>
      <c r="D530" s="93" t="s">
        <v>123</v>
      </c>
      <c r="E530" s="94">
        <f t="shared" si="36"/>
        <v>10846659.130000001</v>
      </c>
      <c r="F530" s="95">
        <v>10846659.130000001</v>
      </c>
      <c r="G530" s="87"/>
      <c r="H530" s="87"/>
      <c r="I530" s="87"/>
      <c r="J530" s="94"/>
      <c r="K530" s="87"/>
      <c r="L530" s="87"/>
      <c r="M530" s="93"/>
    </row>
    <row r="531" spans="1:13" ht="15.75">
      <c r="A531" s="87">
        <v>7</v>
      </c>
      <c r="B531" s="96" t="s">
        <v>31</v>
      </c>
      <c r="C531" s="98">
        <v>4002215005454</v>
      </c>
      <c r="D531" s="93" t="s">
        <v>123</v>
      </c>
      <c r="E531" s="94">
        <f t="shared" si="36"/>
        <v>10467575.564999999</v>
      </c>
      <c r="F531" s="95">
        <v>10467575.564999999</v>
      </c>
      <c r="G531" s="87"/>
      <c r="H531" s="87"/>
      <c r="I531" s="87"/>
      <c r="J531" s="94"/>
      <c r="K531" s="87"/>
      <c r="L531" s="87"/>
      <c r="M531" s="87"/>
    </row>
    <row r="532" spans="1:13" ht="15.75">
      <c r="A532" s="87">
        <v>8</v>
      </c>
      <c r="B532" s="96" t="s">
        <v>125</v>
      </c>
      <c r="C532" s="92">
        <v>4002215005369</v>
      </c>
      <c r="D532" s="93" t="s">
        <v>123</v>
      </c>
      <c r="E532" s="94">
        <f t="shared" si="36"/>
        <v>10394587.17</v>
      </c>
      <c r="F532" s="95">
        <v>10394587.17</v>
      </c>
      <c r="G532" s="87"/>
      <c r="H532" s="87"/>
      <c r="I532" s="87"/>
      <c r="J532" s="94"/>
      <c r="K532" s="87"/>
      <c r="L532" s="87"/>
      <c r="M532" s="93"/>
    </row>
    <row r="533" spans="1:13" ht="15.75">
      <c r="A533" s="87">
        <v>9</v>
      </c>
      <c r="B533" s="96" t="s">
        <v>33</v>
      </c>
      <c r="C533" s="98">
        <v>4002215013980</v>
      </c>
      <c r="D533" s="93" t="s">
        <v>123</v>
      </c>
      <c r="E533" s="94">
        <f t="shared" si="36"/>
        <v>10058565.350000001</v>
      </c>
      <c r="F533" s="95">
        <v>10058565.350000001</v>
      </c>
      <c r="G533" s="97"/>
      <c r="H533" s="87"/>
      <c r="I533" s="87"/>
      <c r="J533" s="94"/>
      <c r="K533" s="87"/>
      <c r="L533" s="87"/>
      <c r="M533" s="93"/>
    </row>
    <row r="534" spans="1:13" ht="15.75">
      <c r="A534" s="87">
        <v>10</v>
      </c>
      <c r="B534" s="96" t="s">
        <v>34</v>
      </c>
      <c r="C534" s="92">
        <v>4002215014006</v>
      </c>
      <c r="D534" s="93" t="s">
        <v>123</v>
      </c>
      <c r="E534" s="94">
        <f t="shared" si="36"/>
        <v>8786553.8400000017</v>
      </c>
      <c r="F534" s="95">
        <v>8786553.8400000017</v>
      </c>
      <c r="G534" s="87"/>
      <c r="H534" s="87"/>
      <c r="I534" s="87"/>
      <c r="J534" s="94"/>
      <c r="K534" s="87"/>
      <c r="L534" s="87"/>
      <c r="M534" s="93"/>
    </row>
    <row r="535" spans="1:13" ht="15.75">
      <c r="A535" s="87">
        <v>11</v>
      </c>
      <c r="B535" s="99" t="s">
        <v>36</v>
      </c>
      <c r="C535" s="98">
        <v>4002215020718</v>
      </c>
      <c r="D535" s="93" t="s">
        <v>123</v>
      </c>
      <c r="E535" s="94">
        <f t="shared" si="36"/>
        <v>9253615.1999999993</v>
      </c>
      <c r="F535" s="95">
        <v>9253615.1999999993</v>
      </c>
      <c r="G535" s="87"/>
      <c r="H535" s="87"/>
      <c r="I535" s="87"/>
      <c r="J535" s="94"/>
      <c r="K535" s="87"/>
      <c r="L535" s="87"/>
      <c r="M535" s="87"/>
    </row>
    <row r="536" spans="1:13" ht="15.75">
      <c r="A536" s="87">
        <v>12</v>
      </c>
      <c r="B536" s="96" t="s">
        <v>59</v>
      </c>
      <c r="C536" s="92">
        <v>4002215018587</v>
      </c>
      <c r="D536" s="93" t="s">
        <v>123</v>
      </c>
      <c r="E536" s="94">
        <f>SUM(F536:L536)</f>
        <v>6109968.4999999991</v>
      </c>
      <c r="F536" s="95">
        <v>6109968.4999999991</v>
      </c>
      <c r="G536" s="97"/>
      <c r="H536" s="87"/>
      <c r="I536" s="87"/>
      <c r="J536" s="94"/>
      <c r="K536" s="87"/>
      <c r="L536" s="87"/>
      <c r="M536" s="87"/>
    </row>
    <row r="537" spans="1:13" ht="15.75">
      <c r="A537" s="87">
        <v>13</v>
      </c>
      <c r="B537" s="96" t="s">
        <v>126</v>
      </c>
      <c r="C537" s="98">
        <v>4002215013945</v>
      </c>
      <c r="D537" s="93" t="s">
        <v>123</v>
      </c>
      <c r="E537" s="94">
        <f t="shared" ref="E537:E541" si="37">SUM(F537:L537)</f>
        <v>9519759</v>
      </c>
      <c r="F537" s="95">
        <v>9519759</v>
      </c>
      <c r="G537" s="87"/>
      <c r="H537" s="87"/>
      <c r="I537" s="87"/>
      <c r="J537" s="94"/>
      <c r="K537" s="87"/>
      <c r="L537" s="87"/>
      <c r="M537" s="87"/>
    </row>
    <row r="538" spans="1:13" ht="15.75">
      <c r="A538" s="87">
        <v>14</v>
      </c>
      <c r="B538" s="96" t="s">
        <v>37</v>
      </c>
      <c r="C538" s="98">
        <v>4002205015211</v>
      </c>
      <c r="D538" s="93" t="s">
        <v>123</v>
      </c>
      <c r="E538" s="94">
        <f t="shared" si="37"/>
        <v>8844163.1999999993</v>
      </c>
      <c r="F538" s="95">
        <v>8844163.1999999993</v>
      </c>
      <c r="G538" s="87"/>
      <c r="H538" s="87"/>
      <c r="I538" s="87"/>
      <c r="J538" s="94"/>
      <c r="K538" s="87"/>
      <c r="L538" s="87"/>
      <c r="M538" s="87"/>
    </row>
    <row r="539" spans="1:13" ht="15.75">
      <c r="A539" s="87">
        <v>15</v>
      </c>
      <c r="B539" s="96" t="s">
        <v>127</v>
      </c>
      <c r="C539" s="92">
        <v>4002215013793</v>
      </c>
      <c r="D539" s="93" t="s">
        <v>123</v>
      </c>
      <c r="E539" s="94">
        <f t="shared" si="37"/>
        <v>8786553.8400000017</v>
      </c>
      <c r="F539" s="95">
        <v>8786553.8400000017</v>
      </c>
      <c r="G539" s="87"/>
      <c r="H539" s="87"/>
      <c r="I539" s="87"/>
      <c r="J539" s="94"/>
      <c r="K539" s="87"/>
      <c r="L539" s="87"/>
      <c r="M539" s="87"/>
    </row>
    <row r="540" spans="1:13" ht="15.75">
      <c r="A540" s="87">
        <v>16</v>
      </c>
      <c r="B540" s="96" t="s">
        <v>38</v>
      </c>
      <c r="C540" s="98">
        <v>4002215013895</v>
      </c>
      <c r="D540" s="93" t="s">
        <v>123</v>
      </c>
      <c r="E540" s="94">
        <f t="shared" si="37"/>
        <v>8728944.4800000004</v>
      </c>
      <c r="F540" s="95">
        <v>8728944.4800000004</v>
      </c>
      <c r="G540" s="87"/>
      <c r="H540" s="87"/>
      <c r="I540" s="87"/>
      <c r="J540" s="94"/>
      <c r="K540" s="87"/>
      <c r="L540" s="87"/>
      <c r="M540" s="87"/>
    </row>
    <row r="541" spans="1:13" ht="15.75">
      <c r="A541" s="87">
        <v>17</v>
      </c>
      <c r="B541" s="96" t="s">
        <v>128</v>
      </c>
      <c r="C541" s="98">
        <v>4002215005483</v>
      </c>
      <c r="D541" s="93" t="s">
        <v>123</v>
      </c>
      <c r="E541" s="94">
        <f t="shared" si="37"/>
        <v>8728944.4800000004</v>
      </c>
      <c r="F541" s="95">
        <v>8728944.4800000004</v>
      </c>
      <c r="G541" s="87"/>
      <c r="H541" s="87"/>
      <c r="I541" s="87"/>
      <c r="J541" s="94"/>
      <c r="K541" s="87"/>
      <c r="L541" s="87"/>
      <c r="M541" s="87"/>
    </row>
    <row r="542" spans="1:13" ht="15.75">
      <c r="A542" s="87">
        <v>18</v>
      </c>
      <c r="B542" s="96" t="s">
        <v>91</v>
      </c>
      <c r="C542" s="100">
        <v>4001205046288</v>
      </c>
      <c r="D542" s="93" t="s">
        <v>129</v>
      </c>
      <c r="E542" s="94">
        <f>SUM(F542:L542)</f>
        <v>9091642.5150000025</v>
      </c>
      <c r="F542" s="101">
        <v>9091642.5150000025</v>
      </c>
      <c r="G542" s="87"/>
      <c r="H542" s="87"/>
      <c r="I542" s="87"/>
      <c r="J542" s="94"/>
      <c r="K542" s="87"/>
      <c r="L542" s="87"/>
      <c r="M542" s="87"/>
    </row>
    <row r="543" spans="1:13" ht="15.75">
      <c r="A543" s="87">
        <v>19</v>
      </c>
      <c r="B543" s="99" t="s">
        <v>39</v>
      </c>
      <c r="C543" s="98">
        <v>4002205007627</v>
      </c>
      <c r="D543" s="93" t="s">
        <v>123</v>
      </c>
      <c r="E543" s="94">
        <f t="shared" ref="E543:E560" si="38">SUM(F543:L543)</f>
        <v>8959381.9200000018</v>
      </c>
      <c r="F543" s="95">
        <v>8959381.9200000018</v>
      </c>
      <c r="G543" s="87"/>
      <c r="H543" s="87"/>
      <c r="I543" s="87"/>
      <c r="J543" s="94"/>
      <c r="K543" s="87"/>
      <c r="L543" s="87"/>
      <c r="M543" s="93"/>
    </row>
    <row r="544" spans="1:13" ht="15.75">
      <c r="A544" s="87">
        <v>20</v>
      </c>
      <c r="B544" s="96" t="s">
        <v>40</v>
      </c>
      <c r="C544" s="98">
        <v>4002205008006</v>
      </c>
      <c r="D544" s="93" t="s">
        <v>123</v>
      </c>
      <c r="E544" s="94">
        <f t="shared" si="38"/>
        <v>8304620.7900000019</v>
      </c>
      <c r="F544" s="95">
        <v>8304620.7900000019</v>
      </c>
      <c r="G544" s="87"/>
      <c r="H544" s="87"/>
      <c r="I544" s="87"/>
      <c r="J544" s="94"/>
      <c r="K544" s="87"/>
      <c r="L544" s="87"/>
      <c r="M544" s="87"/>
    </row>
    <row r="545" spans="1:13" ht="15.75">
      <c r="A545" s="87">
        <v>21</v>
      </c>
      <c r="B545" s="96" t="s">
        <v>130</v>
      </c>
      <c r="C545" s="102">
        <v>4002215013808</v>
      </c>
      <c r="D545" s="93" t="s">
        <v>123</v>
      </c>
      <c r="E545" s="94">
        <f t="shared" si="38"/>
        <v>8008941.4649999999</v>
      </c>
      <c r="F545" s="95">
        <v>8008941.4649999999</v>
      </c>
      <c r="G545" s="87"/>
      <c r="H545" s="87"/>
      <c r="I545" s="87"/>
      <c r="J545" s="94"/>
      <c r="K545" s="87"/>
      <c r="L545" s="87"/>
      <c r="M545" s="87"/>
    </row>
    <row r="546" spans="1:13" ht="15.75">
      <c r="A546" s="87">
        <v>22</v>
      </c>
      <c r="B546" s="99" t="s">
        <v>41</v>
      </c>
      <c r="C546" s="98">
        <v>4002215005490</v>
      </c>
      <c r="D546" s="93" t="s">
        <v>123</v>
      </c>
      <c r="E546" s="94">
        <f t="shared" si="38"/>
        <v>8008941.4649999999</v>
      </c>
      <c r="F546" s="95">
        <v>8008941.4649999999</v>
      </c>
      <c r="G546" s="97"/>
      <c r="H546" s="87"/>
      <c r="I546" s="87"/>
      <c r="J546" s="94"/>
      <c r="K546" s="87"/>
      <c r="L546" s="87"/>
      <c r="M546" s="87"/>
    </row>
    <row r="547" spans="1:13" ht="15.75">
      <c r="A547" s="87">
        <v>23</v>
      </c>
      <c r="B547" s="99" t="s">
        <v>42</v>
      </c>
      <c r="C547" s="98">
        <v>4002215005425</v>
      </c>
      <c r="D547" s="93" t="s">
        <v>123</v>
      </c>
      <c r="E547" s="94">
        <f t="shared" si="38"/>
        <v>8157941.4649999999</v>
      </c>
      <c r="F547" s="95">
        <v>8157941.4649999999</v>
      </c>
      <c r="G547" s="87"/>
      <c r="H547" s="87"/>
      <c r="I547" s="87"/>
      <c r="J547" s="94"/>
      <c r="K547" s="87"/>
      <c r="L547" s="87"/>
      <c r="M547" s="87"/>
    </row>
    <row r="548" spans="1:13">
      <c r="A548" s="87">
        <v>24</v>
      </c>
      <c r="B548" s="87" t="s">
        <v>131</v>
      </c>
      <c r="C548" s="92">
        <v>4002215005280</v>
      </c>
      <c r="D548" s="93" t="s">
        <v>123</v>
      </c>
      <c r="E548" s="94">
        <f t="shared" si="38"/>
        <v>7955732.8200000003</v>
      </c>
      <c r="F548" s="95">
        <v>7955732.8200000003</v>
      </c>
      <c r="G548" s="87"/>
      <c r="H548" s="87"/>
      <c r="I548" s="87"/>
      <c r="J548" s="94"/>
      <c r="K548" s="87"/>
      <c r="L548" s="87"/>
      <c r="M548" s="87"/>
    </row>
    <row r="549" spans="1:13" ht="15.75">
      <c r="A549" s="87">
        <v>25</v>
      </c>
      <c r="B549" s="96" t="s">
        <v>43</v>
      </c>
      <c r="C549" s="92">
        <v>4002215024731</v>
      </c>
      <c r="D549" s="93" t="s">
        <v>123</v>
      </c>
      <c r="E549" s="94">
        <f t="shared" si="38"/>
        <v>7955732.8200000003</v>
      </c>
      <c r="F549" s="95">
        <v>7955732.8200000003</v>
      </c>
      <c r="G549" s="87"/>
      <c r="H549" s="87"/>
      <c r="I549" s="87"/>
      <c r="J549" s="94"/>
      <c r="K549" s="87"/>
      <c r="L549" s="87"/>
      <c r="M549" s="87"/>
    </row>
    <row r="550" spans="1:13" ht="15.75">
      <c r="A550" s="87">
        <v>26</v>
      </c>
      <c r="B550" s="96" t="s">
        <v>58</v>
      </c>
      <c r="C550" s="98">
        <v>4002205100941</v>
      </c>
      <c r="D550" s="93" t="s">
        <v>123</v>
      </c>
      <c r="E550" s="94">
        <f t="shared" si="38"/>
        <v>6417710.8649999993</v>
      </c>
      <c r="F550" s="95">
        <v>6417710.8649999993</v>
      </c>
      <c r="G550" s="87"/>
      <c r="H550" s="87"/>
      <c r="I550" s="87"/>
      <c r="J550" s="94"/>
      <c r="K550" s="87"/>
      <c r="L550" s="87"/>
      <c r="M550" s="87"/>
    </row>
    <row r="551" spans="1:13" ht="15.75">
      <c r="A551" s="87">
        <v>27</v>
      </c>
      <c r="B551" s="96" t="s">
        <v>44</v>
      </c>
      <c r="C551" s="92">
        <v>4002205008330</v>
      </c>
      <c r="D551" s="93" t="s">
        <v>123</v>
      </c>
      <c r="E551" s="94">
        <f t="shared" si="38"/>
        <v>7902524.1749999998</v>
      </c>
      <c r="F551" s="95">
        <v>7902524.1749999998</v>
      </c>
      <c r="G551" s="97"/>
      <c r="H551" s="87"/>
      <c r="I551" s="87"/>
      <c r="J551" s="94"/>
      <c r="K551" s="87"/>
      <c r="L551" s="87"/>
      <c r="M551" s="87"/>
    </row>
    <row r="552" spans="1:13">
      <c r="A552" s="87">
        <v>28</v>
      </c>
      <c r="B552" s="87" t="s">
        <v>132</v>
      </c>
      <c r="C552" s="100">
        <v>4002215005323</v>
      </c>
      <c r="D552" s="93" t="s">
        <v>123</v>
      </c>
      <c r="E552" s="94">
        <f t="shared" si="38"/>
        <v>4814116</v>
      </c>
      <c r="F552" s="104">
        <v>4814116</v>
      </c>
      <c r="G552" s="87"/>
      <c r="H552" s="87"/>
      <c r="I552" s="87"/>
      <c r="J552" s="94"/>
      <c r="K552" s="87"/>
      <c r="L552" s="87"/>
      <c r="M552" s="120" t="s">
        <v>294</v>
      </c>
    </row>
    <row r="553" spans="1:13" ht="15.75">
      <c r="A553" s="87">
        <v>29</v>
      </c>
      <c r="B553" s="99" t="s">
        <v>46</v>
      </c>
      <c r="C553" s="105">
        <v>4002215005510</v>
      </c>
      <c r="D553" s="93" t="s">
        <v>123</v>
      </c>
      <c r="E553" s="94">
        <f t="shared" si="38"/>
        <v>7815646</v>
      </c>
      <c r="F553" s="104">
        <v>7815646</v>
      </c>
      <c r="G553" s="87"/>
      <c r="H553" s="87"/>
      <c r="I553" s="87"/>
      <c r="J553" s="94"/>
      <c r="K553" s="87"/>
      <c r="L553" s="87"/>
      <c r="M553" s="87"/>
    </row>
    <row r="554" spans="1:13" ht="15.75">
      <c r="A554" s="87">
        <v>30</v>
      </c>
      <c r="B554" s="96" t="s">
        <v>47</v>
      </c>
      <c r="C554" s="98">
        <v>4002215013889</v>
      </c>
      <c r="D554" s="93" t="s">
        <v>123</v>
      </c>
      <c r="E554" s="94">
        <f t="shared" si="38"/>
        <v>7955732.8200000003</v>
      </c>
      <c r="F554" s="104">
        <v>7955732.8200000003</v>
      </c>
      <c r="G554" s="87"/>
      <c r="H554" s="87"/>
      <c r="I554" s="87"/>
      <c r="J554" s="94"/>
      <c r="K554" s="87"/>
      <c r="L554" s="87"/>
      <c r="M554" s="93"/>
    </row>
    <row r="555" spans="1:13" ht="15.75">
      <c r="A555" s="87">
        <v>31</v>
      </c>
      <c r="B555" s="96" t="s">
        <v>48</v>
      </c>
      <c r="C555" s="92">
        <v>4002215005346</v>
      </c>
      <c r="D555" s="93" t="s">
        <v>123</v>
      </c>
      <c r="E555" s="94">
        <f t="shared" si="38"/>
        <v>7151316.0900000008</v>
      </c>
      <c r="F555" s="104">
        <v>7151316.0900000008</v>
      </c>
      <c r="G555" s="87"/>
      <c r="H555" s="87"/>
      <c r="I555" s="87"/>
      <c r="J555" s="94"/>
      <c r="K555" s="87"/>
      <c r="L555" s="87"/>
      <c r="M555" s="87"/>
    </row>
    <row r="556" spans="1:13" ht="15.75">
      <c r="A556" s="87">
        <v>32</v>
      </c>
      <c r="B556" s="96" t="s">
        <v>92</v>
      </c>
      <c r="C556" s="98">
        <v>4002215021438</v>
      </c>
      <c r="D556" s="93" t="s">
        <v>123</v>
      </c>
      <c r="E556" s="94">
        <f t="shared" si="38"/>
        <v>6373303.6500000004</v>
      </c>
      <c r="F556" s="104">
        <v>6373303.6500000004</v>
      </c>
      <c r="G556" s="87"/>
      <c r="H556" s="87"/>
      <c r="I556" s="87"/>
      <c r="J556" s="94"/>
      <c r="K556" s="87"/>
      <c r="L556" s="87"/>
      <c r="M556" s="87"/>
    </row>
    <row r="557" spans="1:13" ht="15.75">
      <c r="A557" s="87">
        <v>33</v>
      </c>
      <c r="B557" s="96" t="s">
        <v>93</v>
      </c>
      <c r="C557" s="98">
        <v>4002205007265</v>
      </c>
      <c r="D557" s="93" t="s">
        <v>123</v>
      </c>
      <c r="E557" s="94">
        <f t="shared" si="38"/>
        <v>7053700.2299999986</v>
      </c>
      <c r="F557" s="104">
        <v>7053700.2299999986</v>
      </c>
      <c r="G557" s="87"/>
      <c r="H557" s="87"/>
      <c r="I557" s="87"/>
      <c r="J557" s="94"/>
      <c r="K557" s="87"/>
      <c r="L557" s="87"/>
      <c r="M557" s="87"/>
    </row>
    <row r="558" spans="1:13" ht="17.25" customHeight="1">
      <c r="A558" s="87">
        <v>34</v>
      </c>
      <c r="B558" s="96" t="s">
        <v>95</v>
      </c>
      <c r="C558" s="100">
        <v>4009205061263</v>
      </c>
      <c r="D558" s="106" t="s">
        <v>133</v>
      </c>
      <c r="E558" s="104">
        <f t="shared" si="38"/>
        <v>5341650</v>
      </c>
      <c r="F558" s="104">
        <v>5341650</v>
      </c>
      <c r="G558" s="87"/>
      <c r="H558" s="87"/>
      <c r="I558" s="87"/>
      <c r="J558" s="94"/>
      <c r="K558" s="87"/>
      <c r="L558" s="87"/>
      <c r="M558" s="87"/>
    </row>
    <row r="559" spans="1:13" ht="15.75">
      <c r="A559" s="87">
        <v>35</v>
      </c>
      <c r="B559" s="96" t="s">
        <v>49</v>
      </c>
      <c r="C559" s="100">
        <v>4002215005330</v>
      </c>
      <c r="D559" s="93" t="s">
        <v>123</v>
      </c>
      <c r="E559" s="94">
        <f t="shared" si="38"/>
        <v>4752057</v>
      </c>
      <c r="F559" s="104">
        <v>4752057</v>
      </c>
      <c r="G559" s="87"/>
      <c r="H559" s="87"/>
      <c r="I559" s="87"/>
      <c r="J559" s="94"/>
      <c r="K559" s="87"/>
      <c r="L559" s="87"/>
      <c r="M559" s="87"/>
    </row>
    <row r="560" spans="1:13" ht="15.75">
      <c r="A560" s="87">
        <v>36</v>
      </c>
      <c r="B560" s="96" t="s">
        <v>50</v>
      </c>
      <c r="C560" s="100">
        <v>4002215013758</v>
      </c>
      <c r="D560" s="93" t="s">
        <v>123</v>
      </c>
      <c r="E560" s="94">
        <f t="shared" si="38"/>
        <v>4111953</v>
      </c>
      <c r="F560" s="104">
        <v>4111953</v>
      </c>
      <c r="G560" s="87"/>
      <c r="H560" s="87"/>
      <c r="I560" s="87"/>
      <c r="J560" s="94"/>
      <c r="K560" s="87"/>
      <c r="L560" s="87"/>
      <c r="M560" s="87"/>
    </row>
    <row r="561" spans="1:20">
      <c r="A561" s="90" t="s">
        <v>134</v>
      </c>
      <c r="B561" s="88" t="s">
        <v>135</v>
      </c>
      <c r="C561" s="107"/>
      <c r="D561" s="103"/>
      <c r="E561" s="89">
        <f>E562</f>
        <v>3508400</v>
      </c>
      <c r="F561" s="89"/>
      <c r="G561" s="89">
        <f>G562</f>
        <v>3508400</v>
      </c>
      <c r="H561" s="87"/>
      <c r="I561" s="87"/>
      <c r="J561" s="89"/>
      <c r="K561" s="87"/>
      <c r="L561" s="87"/>
      <c r="M561" s="87"/>
    </row>
    <row r="562" spans="1:20" ht="15.75">
      <c r="A562" s="87">
        <v>1</v>
      </c>
      <c r="B562" s="96" t="s">
        <v>51</v>
      </c>
      <c r="C562" s="100">
        <v>4002205034012</v>
      </c>
      <c r="D562" s="93" t="s">
        <v>123</v>
      </c>
      <c r="E562" s="108">
        <f>F562+G562+J562</f>
        <v>3508400</v>
      </c>
      <c r="F562" s="104"/>
      <c r="G562" s="104">
        <v>3508400</v>
      </c>
      <c r="H562" s="87"/>
      <c r="I562" s="87"/>
      <c r="J562" s="94"/>
      <c r="K562" s="87"/>
      <c r="L562" s="87"/>
      <c r="M562" s="87"/>
    </row>
    <row r="563" spans="1:20">
      <c r="A563" s="88" t="s">
        <v>136</v>
      </c>
      <c r="B563" s="109" t="s">
        <v>137</v>
      </c>
      <c r="C563" s="110"/>
      <c r="D563" s="87"/>
      <c r="E563" s="88">
        <v>0</v>
      </c>
      <c r="F563" s="88">
        <v>0</v>
      </c>
      <c r="G563" s="87"/>
      <c r="H563" s="87"/>
      <c r="I563" s="87"/>
      <c r="J563" s="94"/>
      <c r="K563" s="87"/>
      <c r="L563" s="87"/>
      <c r="M563" s="87"/>
    </row>
    <row r="564" spans="1:20" ht="20.25" customHeight="1">
      <c r="A564" s="1" t="s">
        <v>100</v>
      </c>
      <c r="C564" s="210" t="s">
        <v>291</v>
      </c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</row>
    <row r="565" spans="1:20" ht="15.75">
      <c r="A565" s="111" t="s">
        <v>138</v>
      </c>
      <c r="B565" s="111"/>
      <c r="C565" s="111"/>
      <c r="D565" s="111"/>
      <c r="E565" s="111"/>
      <c r="F565" s="111"/>
      <c r="G565" s="111"/>
      <c r="H565" s="82"/>
      <c r="I565" s="82"/>
      <c r="J565" s="82"/>
      <c r="K565" s="82"/>
      <c r="L565" s="82"/>
      <c r="M565" s="82"/>
    </row>
    <row r="566" spans="1:20" ht="15.75">
      <c r="A566" s="112" t="s">
        <v>277</v>
      </c>
      <c r="B566" s="112"/>
      <c r="C566" s="113">
        <f>C497</f>
        <v>306071214.78090012</v>
      </c>
      <c r="D566" s="258" t="s">
        <v>296</v>
      </c>
      <c r="E566" s="258"/>
      <c r="F566" s="258"/>
      <c r="G566" s="258"/>
      <c r="H566" s="259"/>
      <c r="I566" s="259"/>
      <c r="J566" s="259"/>
      <c r="K566" s="114"/>
      <c r="L566" s="114"/>
      <c r="M566" s="82"/>
    </row>
    <row r="567" spans="1:20">
      <c r="A567" s="242" t="s">
        <v>139</v>
      </c>
      <c r="B567" s="242"/>
      <c r="C567" s="8">
        <v>1034404</v>
      </c>
      <c r="D567" s="243" t="s">
        <v>295</v>
      </c>
      <c r="E567" s="243"/>
      <c r="F567" s="243"/>
      <c r="G567" s="243"/>
      <c r="H567" s="243"/>
      <c r="I567" s="243"/>
      <c r="J567" s="243"/>
      <c r="K567" s="243"/>
      <c r="L567" s="243"/>
      <c r="M567" s="243"/>
    </row>
    <row r="568" spans="1:20">
      <c r="A568" s="242" t="s">
        <v>141</v>
      </c>
      <c r="B568" s="242"/>
      <c r="C568" s="8"/>
      <c r="D568" s="243"/>
      <c r="E568" s="243"/>
      <c r="F568" s="243"/>
      <c r="G568" s="243"/>
      <c r="H568" s="243"/>
      <c r="I568" s="243"/>
      <c r="J568" s="243"/>
      <c r="K568" s="243"/>
      <c r="L568" s="243"/>
      <c r="M568" s="243"/>
    </row>
    <row r="569" spans="1:20">
      <c r="A569" s="112" t="s">
        <v>298</v>
      </c>
      <c r="B569" s="112"/>
      <c r="C569" s="119">
        <f>C566+C567-C568</f>
        <v>307105618.78090012</v>
      </c>
      <c r="D569" s="154" t="s">
        <v>297</v>
      </c>
      <c r="E569" s="154"/>
      <c r="F569" s="154"/>
      <c r="G569" s="243"/>
      <c r="H569" s="243"/>
      <c r="I569" s="243"/>
      <c r="J569" s="243"/>
      <c r="K569" s="243"/>
      <c r="L569" s="243"/>
      <c r="M569" s="243"/>
    </row>
    <row r="570" spans="1:20">
      <c r="A570" s="168"/>
      <c r="B570" s="168"/>
      <c r="C570" s="168"/>
      <c r="D570" s="168"/>
      <c r="E570" s="115"/>
      <c r="F570" s="82"/>
      <c r="G570" s="82"/>
      <c r="H570" s="241" t="s">
        <v>299</v>
      </c>
      <c r="I570" s="241"/>
      <c r="J570" s="241"/>
      <c r="K570" s="241"/>
      <c r="L570" s="241"/>
      <c r="M570" s="241"/>
    </row>
    <row r="571" spans="1:20" ht="15.75">
      <c r="A571" s="82"/>
      <c r="B571" s="82"/>
      <c r="C571" s="239" t="s">
        <v>142</v>
      </c>
      <c r="D571" s="239"/>
      <c r="E571" s="239" t="s">
        <v>79</v>
      </c>
      <c r="F571" s="239"/>
      <c r="G571" s="239"/>
      <c r="H571" s="239" t="s">
        <v>143</v>
      </c>
      <c r="I571" s="239"/>
      <c r="J571" s="239"/>
      <c r="K571" s="239"/>
      <c r="L571" s="239"/>
      <c r="M571" s="239"/>
    </row>
    <row r="572" spans="1:20">
      <c r="A572" s="82"/>
      <c r="B572" s="82"/>
      <c r="C572" s="242" t="s">
        <v>144</v>
      </c>
      <c r="D572" s="242"/>
      <c r="E572" s="242" t="s">
        <v>145</v>
      </c>
      <c r="F572" s="242"/>
      <c r="G572" s="242"/>
      <c r="H572" s="242" t="s">
        <v>146</v>
      </c>
      <c r="I572" s="242"/>
      <c r="J572" s="242"/>
      <c r="K572" s="242"/>
      <c r="L572" s="242"/>
      <c r="M572" s="242"/>
    </row>
    <row r="573" spans="1:20">
      <c r="A573" s="82"/>
      <c r="B573" s="82"/>
      <c r="C573" s="165"/>
      <c r="D573" s="165"/>
      <c r="E573" s="165"/>
      <c r="F573" s="165"/>
      <c r="G573" s="165"/>
      <c r="H573" s="165"/>
      <c r="I573" s="165"/>
      <c r="J573" s="165"/>
      <c r="K573" s="165"/>
      <c r="L573" s="165"/>
      <c r="M573" s="165"/>
    </row>
    <row r="574" spans="1:20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</row>
    <row r="575" spans="1:20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</row>
    <row r="576" spans="1:20" ht="15.75">
      <c r="A576" s="82"/>
      <c r="B576" s="82"/>
      <c r="C576" s="239" t="s">
        <v>59</v>
      </c>
      <c r="D576" s="239"/>
      <c r="E576" s="239" t="s">
        <v>59</v>
      </c>
      <c r="F576" s="239"/>
      <c r="G576" s="239"/>
      <c r="H576" s="239" t="s">
        <v>60</v>
      </c>
      <c r="I576" s="239"/>
      <c r="J576" s="239"/>
      <c r="K576" s="239"/>
      <c r="L576" s="239"/>
      <c r="M576" s="239"/>
    </row>
    <row r="577" spans="1:13">
      <c r="A577" s="240" t="s">
        <v>147</v>
      </c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</row>
    <row r="578" spans="1:13">
      <c r="A578" s="82"/>
      <c r="B578" s="82"/>
      <c r="C578" s="82"/>
      <c r="D578" s="82"/>
      <c r="E578" s="82"/>
      <c r="F578" s="82"/>
      <c r="G578" s="241" t="s">
        <v>157</v>
      </c>
      <c r="H578" s="241"/>
      <c r="I578" s="241"/>
      <c r="J578" s="241"/>
      <c r="K578" s="241"/>
      <c r="L578" s="241"/>
      <c r="M578" s="241"/>
    </row>
    <row r="579" spans="1:13" ht="15.75">
      <c r="A579" s="82"/>
      <c r="B579" s="240" t="s">
        <v>148</v>
      </c>
      <c r="C579" s="240"/>
      <c r="D579" s="240"/>
      <c r="E579" s="240"/>
      <c r="F579" s="240"/>
      <c r="G579" s="239" t="s">
        <v>149</v>
      </c>
      <c r="H579" s="239"/>
      <c r="I579" s="239"/>
      <c r="J579" s="239"/>
      <c r="K579" s="239"/>
      <c r="L579" s="239"/>
      <c r="M579" s="239"/>
    </row>
    <row r="580" spans="1:13" ht="15.75">
      <c r="A580" s="82"/>
      <c r="B580" s="167"/>
      <c r="C580" s="167"/>
      <c r="D580" s="167"/>
      <c r="E580" s="167"/>
      <c r="F580" s="167"/>
      <c r="G580" s="166"/>
      <c r="H580" s="166"/>
      <c r="I580" s="166"/>
      <c r="J580" s="166"/>
      <c r="K580" s="166"/>
      <c r="L580" s="166"/>
      <c r="M580" s="166"/>
    </row>
    <row r="585" spans="1:13" ht="18.75">
      <c r="A585" s="253" t="s">
        <v>102</v>
      </c>
      <c r="B585" s="253"/>
      <c r="C585" s="253"/>
      <c r="D585" s="253"/>
      <c r="E585" s="253"/>
      <c r="F585" s="253"/>
      <c r="G585" s="253"/>
      <c r="H585" s="253"/>
      <c r="I585" s="253"/>
      <c r="J585" s="253"/>
      <c r="K585" s="242" t="s">
        <v>103</v>
      </c>
      <c r="L585" s="242"/>
      <c r="M585" s="81"/>
    </row>
    <row r="586" spans="1:13" ht="18.75">
      <c r="A586" s="254" t="s">
        <v>303</v>
      </c>
      <c r="B586" s="254"/>
      <c r="C586" s="254"/>
      <c r="D586" s="254"/>
      <c r="E586" s="254"/>
      <c r="F586" s="254"/>
      <c r="G586" s="254"/>
      <c r="H586" s="254"/>
      <c r="I586" s="254"/>
      <c r="J586" s="254"/>
      <c r="K586" s="255" t="s">
        <v>215</v>
      </c>
      <c r="L586" s="255"/>
      <c r="M586" s="82"/>
    </row>
    <row r="587" spans="1:13" ht="18.75">
      <c r="A587" s="175"/>
      <c r="B587" s="175"/>
      <c r="C587" s="254" t="s">
        <v>104</v>
      </c>
      <c r="D587" s="254"/>
      <c r="E587" s="254"/>
      <c r="F587" s="254"/>
      <c r="G587" s="254"/>
      <c r="H587" s="254"/>
      <c r="I587" s="254"/>
      <c r="J587" s="175"/>
      <c r="K587" s="175"/>
      <c r="L587" s="175"/>
      <c r="M587" s="82"/>
    </row>
    <row r="588" spans="1:13" ht="16.5">
      <c r="A588" s="256" t="s">
        <v>105</v>
      </c>
      <c r="B588" s="256"/>
      <c r="C588" s="256"/>
      <c r="D588" s="256"/>
      <c r="E588" s="256"/>
      <c r="F588" s="256"/>
      <c r="G588" s="256"/>
      <c r="H588" s="256"/>
      <c r="I588" s="256"/>
      <c r="J588" s="256"/>
      <c r="K588" s="256"/>
      <c r="L588" s="256"/>
      <c r="M588" s="82"/>
    </row>
    <row r="589" spans="1:13" ht="16.5">
      <c r="A589" s="256" t="s">
        <v>106</v>
      </c>
      <c r="B589" s="256"/>
      <c r="C589" s="256"/>
      <c r="D589" s="256"/>
      <c r="E589" s="256"/>
      <c r="F589" s="256"/>
      <c r="G589" s="256"/>
      <c r="H589" s="256"/>
      <c r="I589" s="256"/>
      <c r="J589" s="256"/>
      <c r="K589" s="256"/>
      <c r="L589" s="256"/>
      <c r="M589" s="82"/>
    </row>
    <row r="590" spans="1:13" ht="16.5">
      <c r="A590" s="256" t="s">
        <v>107</v>
      </c>
      <c r="B590" s="256"/>
      <c r="C590" s="256"/>
      <c r="D590" s="256"/>
      <c r="E590" s="256"/>
      <c r="F590" s="256"/>
      <c r="G590" s="256"/>
      <c r="H590" s="256"/>
      <c r="I590" s="256"/>
      <c r="J590" s="256"/>
      <c r="K590" s="256"/>
      <c r="L590" s="256"/>
      <c r="M590" s="82"/>
    </row>
    <row r="591" spans="1:13" ht="15.75">
      <c r="A591" s="257" t="s">
        <v>304</v>
      </c>
      <c r="B591" s="257"/>
      <c r="C591" s="257"/>
      <c r="D591" s="257"/>
      <c r="E591" s="257"/>
      <c r="F591" s="257"/>
      <c r="G591" s="257"/>
      <c r="H591" s="257"/>
      <c r="I591" s="257"/>
      <c r="J591" s="257"/>
      <c r="K591" s="257"/>
      <c r="L591" s="257"/>
      <c r="M591" s="82"/>
    </row>
    <row r="592" spans="1:13">
      <c r="A592" s="245" t="s">
        <v>0</v>
      </c>
      <c r="B592" s="247" t="s">
        <v>108</v>
      </c>
      <c r="C592" s="249" t="s">
        <v>109</v>
      </c>
      <c r="D592" s="249"/>
      <c r="E592" s="247" t="s">
        <v>110</v>
      </c>
      <c r="F592" s="250" t="s">
        <v>111</v>
      </c>
      <c r="G592" s="251"/>
      <c r="H592" s="251"/>
      <c r="I592" s="251"/>
      <c r="J592" s="251"/>
      <c r="K592" s="251"/>
      <c r="L592" s="252"/>
      <c r="M592" s="247" t="s">
        <v>57</v>
      </c>
    </row>
    <row r="593" spans="1:16" ht="42">
      <c r="A593" s="246"/>
      <c r="B593" s="248"/>
      <c r="C593" s="84" t="s">
        <v>112</v>
      </c>
      <c r="D593" s="84" t="s">
        <v>113</v>
      </c>
      <c r="E593" s="248"/>
      <c r="F593" s="84" t="s">
        <v>114</v>
      </c>
      <c r="G593" s="85" t="s">
        <v>115</v>
      </c>
      <c r="H593" s="85" t="s">
        <v>116</v>
      </c>
      <c r="I593" s="84" t="s">
        <v>117</v>
      </c>
      <c r="J593" s="84" t="s">
        <v>118</v>
      </c>
      <c r="K593" s="84" t="s">
        <v>119</v>
      </c>
      <c r="L593" s="84" t="s">
        <v>120</v>
      </c>
      <c r="M593" s="248"/>
    </row>
    <row r="594" spans="1:16">
      <c r="A594" s="86">
        <v>1</v>
      </c>
      <c r="B594" s="86">
        <v>2</v>
      </c>
      <c r="C594" s="86">
        <v>3</v>
      </c>
      <c r="D594" s="86"/>
      <c r="E594" s="86">
        <v>4</v>
      </c>
      <c r="F594" s="86">
        <v>5</v>
      </c>
      <c r="G594" s="86">
        <v>6</v>
      </c>
      <c r="H594" s="86">
        <v>7</v>
      </c>
      <c r="I594" s="86">
        <v>8</v>
      </c>
      <c r="J594" s="86">
        <v>9</v>
      </c>
      <c r="K594" s="86">
        <v>10</v>
      </c>
      <c r="L594" s="86">
        <v>11</v>
      </c>
      <c r="M594" s="86">
        <v>12</v>
      </c>
      <c r="O594" t="s">
        <v>314</v>
      </c>
      <c r="P594">
        <v>1700</v>
      </c>
    </row>
    <row r="595" spans="1:16">
      <c r="A595" s="87"/>
      <c r="B595" s="88" t="s">
        <v>110</v>
      </c>
      <c r="C595" s="87"/>
      <c r="D595" s="87"/>
      <c r="E595" s="89">
        <f>E596+E633+E635</f>
        <v>310582194.82664996</v>
      </c>
      <c r="F595" s="89">
        <f>F596+F633+F635</f>
        <v>307073794.82664996</v>
      </c>
      <c r="G595" s="89">
        <f t="shared" ref="G595:J595" si="39">G596+G633+G635</f>
        <v>3508400</v>
      </c>
      <c r="H595" s="89">
        <f t="shared" si="39"/>
        <v>0</v>
      </c>
      <c r="I595" s="89">
        <f t="shared" si="39"/>
        <v>0</v>
      </c>
      <c r="J595" s="89">
        <f t="shared" si="39"/>
        <v>0</v>
      </c>
      <c r="K595" s="87"/>
      <c r="L595" s="87"/>
      <c r="M595" s="87"/>
      <c r="O595" t="s">
        <v>315</v>
      </c>
      <c r="P595">
        <v>1601</v>
      </c>
    </row>
    <row r="596" spans="1:16">
      <c r="A596" s="90" t="s">
        <v>121</v>
      </c>
      <c r="B596" s="88" t="s">
        <v>122</v>
      </c>
      <c r="C596" s="87"/>
      <c r="D596" s="87"/>
      <c r="E596" s="89">
        <f>SUM(E597:E632)</f>
        <v>307073794.82664996</v>
      </c>
      <c r="F596" s="89">
        <f>SUM(F597:F632)</f>
        <v>307073794.82664996</v>
      </c>
      <c r="G596" s="89">
        <f t="shared" ref="G596:J596" si="40">SUM(G597:G632)</f>
        <v>0</v>
      </c>
      <c r="H596" s="89">
        <f t="shared" si="40"/>
        <v>0</v>
      </c>
      <c r="I596" s="89">
        <f t="shared" si="40"/>
        <v>0</v>
      </c>
      <c r="J596" s="89">
        <f t="shared" si="40"/>
        <v>0</v>
      </c>
      <c r="K596" s="87"/>
      <c r="L596" s="87"/>
      <c r="M596" s="87"/>
      <c r="O596" t="s">
        <v>316</v>
      </c>
      <c r="P596">
        <v>500</v>
      </c>
    </row>
    <row r="597" spans="1:16" ht="15.75">
      <c r="A597" s="87">
        <v>1</v>
      </c>
      <c r="B597" s="91" t="s">
        <v>60</v>
      </c>
      <c r="C597" s="92">
        <v>4002205008058</v>
      </c>
      <c r="D597" s="93" t="s">
        <v>123</v>
      </c>
      <c r="E597" s="94">
        <f>SUM(F597:L597)</f>
        <v>11379448.859999999</v>
      </c>
      <c r="F597" s="95">
        <v>11379448.859999999</v>
      </c>
      <c r="G597" s="87"/>
      <c r="H597" s="87"/>
      <c r="I597" s="87"/>
      <c r="J597" s="94"/>
      <c r="K597" s="87"/>
      <c r="L597" s="87"/>
      <c r="M597" s="87"/>
      <c r="O597" t="s">
        <v>19</v>
      </c>
      <c r="P597">
        <v>200</v>
      </c>
    </row>
    <row r="598" spans="1:16" ht="15.75">
      <c r="A598" s="87">
        <v>2</v>
      </c>
      <c r="B598" s="96" t="s">
        <v>28</v>
      </c>
      <c r="C598" s="92">
        <v>4002215013939</v>
      </c>
      <c r="D598" s="93" t="s">
        <v>123</v>
      </c>
      <c r="E598" s="94">
        <f t="shared" ref="E598:E607" si="41">SUM(F598:L598)</f>
        <v>11335386.907800004</v>
      </c>
      <c r="F598" s="95">
        <v>11335386.907800004</v>
      </c>
      <c r="G598" s="87"/>
      <c r="H598" s="87"/>
      <c r="I598" s="87"/>
      <c r="J598" s="94"/>
      <c r="K598" s="87"/>
      <c r="L598" s="87"/>
      <c r="M598" s="87"/>
      <c r="O598" t="s">
        <v>18</v>
      </c>
      <c r="P598">
        <v>500</v>
      </c>
    </row>
    <row r="599" spans="1:16" ht="15.75">
      <c r="A599" s="87">
        <v>3</v>
      </c>
      <c r="B599" s="96" t="s">
        <v>30</v>
      </c>
      <c r="C599" s="92">
        <v>4002205008353</v>
      </c>
      <c r="D599" s="93" t="s">
        <v>123</v>
      </c>
      <c r="E599" s="94">
        <f t="shared" si="41"/>
        <v>11593931.41725</v>
      </c>
      <c r="F599" s="95">
        <v>11593931.41725</v>
      </c>
      <c r="G599" s="87"/>
      <c r="H599" s="87"/>
      <c r="I599" s="87"/>
      <c r="J599" s="94"/>
      <c r="K599" s="87"/>
      <c r="L599" s="87"/>
      <c r="M599" s="93" t="s">
        <v>333</v>
      </c>
      <c r="O599" t="s">
        <v>318</v>
      </c>
      <c r="P599">
        <f>80*15</f>
        <v>1200</v>
      </c>
    </row>
    <row r="600" spans="1:16" ht="15.75">
      <c r="A600" s="87">
        <v>4</v>
      </c>
      <c r="B600" s="96" t="s">
        <v>32</v>
      </c>
      <c r="C600" s="92">
        <v>4002205007706</v>
      </c>
      <c r="D600" s="93" t="s">
        <v>123</v>
      </c>
      <c r="E600" s="94">
        <f t="shared" si="41"/>
        <v>11331769.828500003</v>
      </c>
      <c r="F600" s="95">
        <v>11331769.828500003</v>
      </c>
      <c r="G600" s="97"/>
      <c r="H600" s="87"/>
      <c r="I600" s="87"/>
      <c r="J600" s="94"/>
      <c r="K600" s="87"/>
      <c r="L600" s="87"/>
      <c r="M600" s="87"/>
      <c r="O600" t="s">
        <v>317</v>
      </c>
      <c r="P600">
        <v>400</v>
      </c>
    </row>
    <row r="601" spans="1:16" ht="15.75">
      <c r="A601" s="87">
        <v>5</v>
      </c>
      <c r="B601" s="96" t="s">
        <v>124</v>
      </c>
      <c r="C601" s="92">
        <v>4002205007577</v>
      </c>
      <c r="D601" s="93" t="s">
        <v>123</v>
      </c>
      <c r="E601" s="94">
        <f t="shared" si="41"/>
        <v>11834568.153100003</v>
      </c>
      <c r="F601" s="95">
        <v>11834568.153100003</v>
      </c>
      <c r="G601" s="87"/>
      <c r="H601" s="87"/>
      <c r="I601" s="87"/>
      <c r="J601" s="94"/>
      <c r="K601" s="87"/>
      <c r="L601" s="87"/>
      <c r="M601" s="87"/>
      <c r="P601">
        <f>SUM(P594:P600)</f>
        <v>6101</v>
      </c>
    </row>
    <row r="602" spans="1:16" ht="15.75">
      <c r="A602" s="87">
        <v>6</v>
      </c>
      <c r="B602" s="96" t="s">
        <v>84</v>
      </c>
      <c r="C602" s="92">
        <v>4002205099727</v>
      </c>
      <c r="D602" s="93" t="s">
        <v>123</v>
      </c>
      <c r="E602" s="94">
        <f t="shared" si="41"/>
        <v>10846659.130000001</v>
      </c>
      <c r="F602" s="95">
        <v>10846659.130000001</v>
      </c>
      <c r="G602" s="87"/>
      <c r="H602" s="87"/>
      <c r="I602" s="87"/>
      <c r="J602" s="94"/>
      <c r="K602" s="87"/>
      <c r="L602" s="87"/>
      <c r="M602" s="93"/>
    </row>
    <row r="603" spans="1:16" ht="15.75">
      <c r="A603" s="87">
        <v>7</v>
      </c>
      <c r="B603" s="96" t="s">
        <v>31</v>
      </c>
      <c r="C603" s="98">
        <v>4002215005454</v>
      </c>
      <c r="D603" s="93" t="s">
        <v>123</v>
      </c>
      <c r="E603" s="94">
        <f t="shared" si="41"/>
        <v>10467575.564999999</v>
      </c>
      <c r="F603" s="95">
        <v>10467575.564999999</v>
      </c>
      <c r="G603" s="87"/>
      <c r="H603" s="87"/>
      <c r="I603" s="87"/>
      <c r="J603" s="94"/>
      <c r="K603" s="87"/>
      <c r="L603" s="87"/>
      <c r="M603" s="87"/>
    </row>
    <row r="604" spans="1:16" ht="15.75">
      <c r="A604" s="87">
        <v>8</v>
      </c>
      <c r="B604" s="96" t="s">
        <v>125</v>
      </c>
      <c r="C604" s="92">
        <v>4002215005369</v>
      </c>
      <c r="D604" s="93" t="s">
        <v>123</v>
      </c>
      <c r="E604" s="94">
        <f t="shared" si="41"/>
        <v>10394587.17</v>
      </c>
      <c r="F604" s="95">
        <v>10394587.17</v>
      </c>
      <c r="G604" s="87"/>
      <c r="H604" s="87"/>
      <c r="I604" s="87"/>
      <c r="J604" s="94"/>
      <c r="K604" s="87"/>
      <c r="L604" s="87"/>
      <c r="M604" s="93"/>
      <c r="P604">
        <f>6101-P601</f>
        <v>0</v>
      </c>
    </row>
    <row r="605" spans="1:16" ht="15.75">
      <c r="A605" s="87">
        <v>9</v>
      </c>
      <c r="B605" s="96" t="s">
        <v>33</v>
      </c>
      <c r="C605" s="98">
        <v>4002215013980</v>
      </c>
      <c r="D605" s="93" t="s">
        <v>123</v>
      </c>
      <c r="E605" s="94">
        <f t="shared" si="41"/>
        <v>10058565.350000001</v>
      </c>
      <c r="F605" s="95">
        <v>10058565.350000001</v>
      </c>
      <c r="G605" s="97"/>
      <c r="H605" s="87"/>
      <c r="I605" s="87"/>
      <c r="J605" s="94"/>
      <c r="K605" s="87"/>
      <c r="L605" s="87"/>
      <c r="M605" s="93"/>
    </row>
    <row r="606" spans="1:16" ht="15.75">
      <c r="A606" s="87">
        <v>10</v>
      </c>
      <c r="B606" s="96" t="s">
        <v>34</v>
      </c>
      <c r="C606" s="92">
        <v>4002215014006</v>
      </c>
      <c r="D606" s="93" t="s">
        <v>123</v>
      </c>
      <c r="E606" s="94">
        <f t="shared" si="41"/>
        <v>8786553.8400000017</v>
      </c>
      <c r="F606" s="95">
        <v>8786553.8400000017</v>
      </c>
      <c r="G606" s="87"/>
      <c r="H606" s="87"/>
      <c r="I606" s="87"/>
      <c r="J606" s="94"/>
      <c r="K606" s="87"/>
      <c r="L606" s="87"/>
      <c r="M606" s="93"/>
    </row>
    <row r="607" spans="1:16" ht="15.75">
      <c r="A607" s="87">
        <v>11</v>
      </c>
      <c r="B607" s="99" t="s">
        <v>36</v>
      </c>
      <c r="C607" s="98">
        <v>4002215020718</v>
      </c>
      <c r="D607" s="93" t="s">
        <v>123</v>
      </c>
      <c r="E607" s="94">
        <f t="shared" si="41"/>
        <v>9253615.1999999993</v>
      </c>
      <c r="F607" s="95">
        <v>9253615.1999999993</v>
      </c>
      <c r="G607" s="87"/>
      <c r="H607" s="87"/>
      <c r="I607" s="87"/>
      <c r="J607" s="94"/>
      <c r="K607" s="87"/>
      <c r="L607" s="87"/>
      <c r="M607" s="87"/>
    </row>
    <row r="608" spans="1:16" ht="15.75">
      <c r="A608" s="87">
        <v>12</v>
      </c>
      <c r="B608" s="96" t="s">
        <v>59</v>
      </c>
      <c r="C608" s="92">
        <v>4002215018587</v>
      </c>
      <c r="D608" s="93" t="s">
        <v>123</v>
      </c>
      <c r="E608" s="94">
        <f>SUM(F608:L608)</f>
        <v>6109968.4999999991</v>
      </c>
      <c r="F608" s="95">
        <v>6109968.4999999991</v>
      </c>
      <c r="G608" s="97"/>
      <c r="H608" s="87"/>
      <c r="I608" s="87"/>
      <c r="J608" s="94"/>
      <c r="K608" s="87"/>
      <c r="L608" s="87"/>
      <c r="M608" s="87"/>
    </row>
    <row r="609" spans="1:13" ht="15.75">
      <c r="A609" s="87">
        <v>13</v>
      </c>
      <c r="B609" s="96" t="s">
        <v>126</v>
      </c>
      <c r="C609" s="98">
        <v>4002215013945</v>
      </c>
      <c r="D609" s="93" t="s">
        <v>123</v>
      </c>
      <c r="E609" s="94">
        <f t="shared" ref="E609:E613" si="42">SUM(F609:L609)</f>
        <v>9519759</v>
      </c>
      <c r="F609" s="95">
        <v>9519759</v>
      </c>
      <c r="G609" s="87"/>
      <c r="H609" s="87"/>
      <c r="I609" s="87"/>
      <c r="J609" s="94"/>
      <c r="K609" s="87"/>
      <c r="L609" s="87"/>
      <c r="M609" s="87"/>
    </row>
    <row r="610" spans="1:13" ht="15.75">
      <c r="A610" s="87">
        <v>14</v>
      </c>
      <c r="B610" s="96" t="s">
        <v>37</v>
      </c>
      <c r="C610" s="98">
        <v>4002205015211</v>
      </c>
      <c r="D610" s="93" t="s">
        <v>123</v>
      </c>
      <c r="E610" s="94">
        <f t="shared" si="42"/>
        <v>8844163.1999999993</v>
      </c>
      <c r="F610" s="95">
        <v>8844163.1999999993</v>
      </c>
      <c r="G610" s="87"/>
      <c r="H610" s="87"/>
      <c r="I610" s="87"/>
      <c r="J610" s="94"/>
      <c r="K610" s="87"/>
      <c r="L610" s="87"/>
      <c r="M610" s="87"/>
    </row>
    <row r="611" spans="1:13" ht="15.75">
      <c r="A611" s="87">
        <v>15</v>
      </c>
      <c r="B611" s="96" t="s">
        <v>127</v>
      </c>
      <c r="C611" s="92">
        <v>4002215013793</v>
      </c>
      <c r="D611" s="93" t="s">
        <v>123</v>
      </c>
      <c r="E611" s="94">
        <f t="shared" si="42"/>
        <v>8844163.1999999993</v>
      </c>
      <c r="F611" s="95">
        <v>8844163.1999999993</v>
      </c>
      <c r="G611" s="87"/>
      <c r="H611" s="87"/>
      <c r="I611" s="87"/>
      <c r="J611" s="94"/>
      <c r="K611" s="87"/>
      <c r="L611" s="87"/>
      <c r="M611" s="87"/>
    </row>
    <row r="612" spans="1:13" ht="15.75">
      <c r="A612" s="87">
        <v>16</v>
      </c>
      <c r="B612" s="96" t="s">
        <v>38</v>
      </c>
      <c r="C612" s="98">
        <v>4002215013895</v>
      </c>
      <c r="D612" s="93" t="s">
        <v>123</v>
      </c>
      <c r="E612" s="94">
        <f t="shared" si="42"/>
        <v>8728944.4800000004</v>
      </c>
      <c r="F612" s="95">
        <v>8728944.4800000004</v>
      </c>
      <c r="G612" s="87"/>
      <c r="H612" s="87"/>
      <c r="I612" s="87"/>
      <c r="J612" s="94"/>
      <c r="K612" s="87"/>
      <c r="L612" s="87"/>
      <c r="M612" s="87"/>
    </row>
    <row r="613" spans="1:13" ht="15.75">
      <c r="A613" s="87">
        <v>17</v>
      </c>
      <c r="B613" s="96" t="s">
        <v>128</v>
      </c>
      <c r="C613" s="98">
        <v>4002215005483</v>
      </c>
      <c r="D613" s="93" t="s">
        <v>123</v>
      </c>
      <c r="E613" s="94">
        <f t="shared" si="42"/>
        <v>8728944.4800000004</v>
      </c>
      <c r="F613" s="95">
        <v>8728944.4800000004</v>
      </c>
      <c r="G613" s="87"/>
      <c r="H613" s="87"/>
      <c r="I613" s="87"/>
      <c r="J613" s="94"/>
      <c r="K613" s="87"/>
      <c r="L613" s="87"/>
      <c r="M613" s="87"/>
    </row>
    <row r="614" spans="1:13" ht="15.75">
      <c r="A614" s="87">
        <v>18</v>
      </c>
      <c r="B614" s="96" t="s">
        <v>91</v>
      </c>
      <c r="C614" s="100">
        <v>4001205046288</v>
      </c>
      <c r="D614" s="93" t="s">
        <v>129</v>
      </c>
      <c r="E614" s="94">
        <f>SUM(F614:L614)</f>
        <v>9826848</v>
      </c>
      <c r="F614" s="101">
        <v>9826848</v>
      </c>
      <c r="G614" s="87"/>
      <c r="H614" s="87"/>
      <c r="I614" s="87"/>
      <c r="J614" s="94"/>
      <c r="K614" s="87"/>
      <c r="L614" s="87"/>
      <c r="M614" s="87" t="s">
        <v>325</v>
      </c>
    </row>
    <row r="615" spans="1:13" ht="15.75">
      <c r="A615" s="87">
        <v>19</v>
      </c>
      <c r="B615" s="99" t="s">
        <v>39</v>
      </c>
      <c r="C615" s="98">
        <v>4002205007627</v>
      </c>
      <c r="D615" s="93" t="s">
        <v>123</v>
      </c>
      <c r="E615" s="94">
        <f t="shared" ref="E615:E632" si="43">SUM(F615:L615)</f>
        <v>8959381.9200000018</v>
      </c>
      <c r="F615" s="95">
        <v>8959381.9200000018</v>
      </c>
      <c r="G615" s="87"/>
      <c r="H615" s="87"/>
      <c r="I615" s="87"/>
      <c r="J615" s="94"/>
      <c r="K615" s="87"/>
      <c r="L615" s="87"/>
      <c r="M615" s="93"/>
    </row>
    <row r="616" spans="1:13" ht="15.75">
      <c r="A616" s="87">
        <v>20</v>
      </c>
      <c r="B616" s="96" t="s">
        <v>40</v>
      </c>
      <c r="C616" s="98">
        <v>4002205008006</v>
      </c>
      <c r="D616" s="93" t="s">
        <v>123</v>
      </c>
      <c r="E616" s="94">
        <f t="shared" si="43"/>
        <v>8304620.7900000019</v>
      </c>
      <c r="F616" s="95">
        <v>8304620.7900000019</v>
      </c>
      <c r="G616" s="87"/>
      <c r="H616" s="87"/>
      <c r="I616" s="87"/>
      <c r="J616" s="94"/>
      <c r="K616" s="87"/>
      <c r="L616" s="87"/>
      <c r="M616" s="87"/>
    </row>
    <row r="617" spans="1:13" ht="16.5" customHeight="1">
      <c r="A617" s="87">
        <v>21</v>
      </c>
      <c r="B617" s="96" t="s">
        <v>130</v>
      </c>
      <c r="C617" s="102">
        <v>4002215013808</v>
      </c>
      <c r="D617" s="93" t="s">
        <v>123</v>
      </c>
      <c r="E617" s="94">
        <f t="shared" si="43"/>
        <v>8008941.4649999999</v>
      </c>
      <c r="F617" s="95">
        <v>8008941.4649999999</v>
      </c>
      <c r="G617" s="87"/>
      <c r="H617" s="87"/>
      <c r="I617" s="87"/>
      <c r="J617" s="94"/>
      <c r="K617" s="87"/>
      <c r="L617" s="87"/>
      <c r="M617" s="87"/>
    </row>
    <row r="618" spans="1:13" ht="16.5" customHeight="1">
      <c r="A618" s="87">
        <v>22</v>
      </c>
      <c r="B618" s="99" t="s">
        <v>41</v>
      </c>
      <c r="C618" s="98">
        <v>4002215005490</v>
      </c>
      <c r="D618" s="93" t="s">
        <v>123</v>
      </c>
      <c r="E618" s="94">
        <f t="shared" si="43"/>
        <v>8008941.4649999999</v>
      </c>
      <c r="F618" s="95">
        <v>8008941.4649999999</v>
      </c>
      <c r="G618" s="97"/>
      <c r="H618" s="87"/>
      <c r="I618" s="87"/>
      <c r="J618" s="94"/>
      <c r="K618" s="87"/>
      <c r="L618" s="87"/>
      <c r="M618" s="87"/>
    </row>
    <row r="619" spans="1:13" ht="16.5" customHeight="1">
      <c r="A619" s="87">
        <v>23</v>
      </c>
      <c r="B619" s="99" t="s">
        <v>42</v>
      </c>
      <c r="C619" s="98">
        <v>4002215005425</v>
      </c>
      <c r="D619" s="93" t="s">
        <v>123</v>
      </c>
      <c r="E619" s="94">
        <f t="shared" si="43"/>
        <v>8820335.1199999992</v>
      </c>
      <c r="F619" s="95">
        <v>8820335.1199999992</v>
      </c>
      <c r="G619" s="87"/>
      <c r="H619" s="87"/>
      <c r="I619" s="87"/>
      <c r="J619" s="94"/>
      <c r="K619" s="87"/>
      <c r="L619" s="87"/>
      <c r="M619" s="87" t="s">
        <v>251</v>
      </c>
    </row>
    <row r="620" spans="1:13" ht="16.5" customHeight="1">
      <c r="A620" s="87">
        <v>24</v>
      </c>
      <c r="B620" s="87" t="s">
        <v>131</v>
      </c>
      <c r="C620" s="92">
        <v>4002215005280</v>
      </c>
      <c r="D620" s="93" t="s">
        <v>123</v>
      </c>
      <c r="E620" s="94">
        <f t="shared" si="43"/>
        <v>7955732.8200000003</v>
      </c>
      <c r="F620" s="95">
        <v>7955732.8200000003</v>
      </c>
      <c r="G620" s="87"/>
      <c r="H620" s="87"/>
      <c r="I620" s="87"/>
      <c r="J620" s="94"/>
      <c r="K620" s="87"/>
      <c r="L620" s="87"/>
      <c r="M620" s="87"/>
    </row>
    <row r="621" spans="1:13" ht="16.5" customHeight="1">
      <c r="A621" s="87">
        <v>25</v>
      </c>
      <c r="B621" s="96" t="s">
        <v>43</v>
      </c>
      <c r="C621" s="92">
        <v>4002215024731</v>
      </c>
      <c r="D621" s="93" t="s">
        <v>123</v>
      </c>
      <c r="E621" s="94">
        <f t="shared" si="43"/>
        <v>7955732.8200000003</v>
      </c>
      <c r="F621" s="95">
        <v>7955732.8200000003</v>
      </c>
      <c r="G621" s="87"/>
      <c r="H621" s="87"/>
      <c r="I621" s="87"/>
      <c r="J621" s="94"/>
      <c r="K621" s="87"/>
      <c r="L621" s="87"/>
      <c r="M621" s="87"/>
    </row>
    <row r="622" spans="1:13" ht="16.5" customHeight="1">
      <c r="A622" s="87">
        <v>26</v>
      </c>
      <c r="B622" s="96" t="s">
        <v>58</v>
      </c>
      <c r="C622" s="98">
        <v>4002205100941</v>
      </c>
      <c r="D622" s="93" t="s">
        <v>123</v>
      </c>
      <c r="E622" s="94">
        <f t="shared" si="43"/>
        <v>7102508</v>
      </c>
      <c r="F622" s="95">
        <v>7102508</v>
      </c>
      <c r="G622" s="87"/>
      <c r="H622" s="87"/>
      <c r="I622" s="87"/>
      <c r="J622" s="94"/>
      <c r="K622" s="87"/>
      <c r="L622" s="87"/>
      <c r="M622" s="87" t="s">
        <v>325</v>
      </c>
    </row>
    <row r="623" spans="1:13" ht="16.5" customHeight="1">
      <c r="A623" s="87">
        <v>27</v>
      </c>
      <c r="B623" s="96" t="s">
        <v>44</v>
      </c>
      <c r="C623" s="92">
        <v>4002205008330</v>
      </c>
      <c r="D623" s="93" t="s">
        <v>123</v>
      </c>
      <c r="E623" s="94">
        <f t="shared" si="43"/>
        <v>7902524.1749999998</v>
      </c>
      <c r="F623" s="95">
        <v>7902524.1749999998</v>
      </c>
      <c r="G623" s="97"/>
      <c r="H623" s="87"/>
      <c r="I623" s="87"/>
      <c r="J623" s="94"/>
      <c r="K623" s="87"/>
      <c r="L623" s="87"/>
      <c r="M623" s="87"/>
    </row>
    <row r="624" spans="1:13" ht="16.5" customHeight="1">
      <c r="A624" s="87">
        <v>28</v>
      </c>
      <c r="B624" s="87" t="s">
        <v>132</v>
      </c>
      <c r="C624" s="100">
        <v>4002215005323</v>
      </c>
      <c r="D624" s="93" t="s">
        <v>123</v>
      </c>
      <c r="E624" s="94">
        <f t="shared" si="43"/>
        <v>4814115.5</v>
      </c>
      <c r="F624" s="104">
        <v>4814115.5</v>
      </c>
      <c r="G624" s="87"/>
      <c r="H624" s="87"/>
      <c r="I624" s="87"/>
      <c r="J624" s="94"/>
      <c r="K624" s="87"/>
      <c r="L624" s="87"/>
      <c r="M624" s="120"/>
    </row>
    <row r="625" spans="1:20" ht="16.5" customHeight="1">
      <c r="A625" s="87">
        <v>29</v>
      </c>
      <c r="B625" s="99" t="s">
        <v>46</v>
      </c>
      <c r="C625" s="105">
        <v>4002215005510</v>
      </c>
      <c r="D625" s="93" t="s">
        <v>123</v>
      </c>
      <c r="E625" s="94">
        <f t="shared" si="43"/>
        <v>7868988</v>
      </c>
      <c r="F625" s="104">
        <v>7868988</v>
      </c>
      <c r="G625" s="87"/>
      <c r="H625" s="87"/>
      <c r="I625" s="87"/>
      <c r="J625" s="94"/>
      <c r="K625" s="87"/>
      <c r="L625" s="87"/>
      <c r="M625" s="87" t="s">
        <v>326</v>
      </c>
    </row>
    <row r="626" spans="1:20" ht="16.5" customHeight="1">
      <c r="A626" s="87">
        <v>30</v>
      </c>
      <c r="B626" s="96" t="s">
        <v>47</v>
      </c>
      <c r="C626" s="98">
        <v>4002215013889</v>
      </c>
      <c r="D626" s="93" t="s">
        <v>123</v>
      </c>
      <c r="E626" s="94">
        <f t="shared" si="43"/>
        <v>7955732.8200000003</v>
      </c>
      <c r="F626" s="104">
        <v>7955732.8200000003</v>
      </c>
      <c r="G626" s="87"/>
      <c r="H626" s="87"/>
      <c r="I626" s="87"/>
      <c r="J626" s="94"/>
      <c r="K626" s="87"/>
      <c r="L626" s="87"/>
      <c r="M626" s="93"/>
    </row>
    <row r="627" spans="1:20" ht="16.5" customHeight="1">
      <c r="A627" s="87">
        <v>31</v>
      </c>
      <c r="B627" s="96" t="s">
        <v>48</v>
      </c>
      <c r="C627" s="92">
        <v>4002215005346</v>
      </c>
      <c r="D627" s="93" t="s">
        <v>123</v>
      </c>
      <c r="E627" s="94">
        <f t="shared" si="43"/>
        <v>7849316</v>
      </c>
      <c r="F627" s="104">
        <v>7849316</v>
      </c>
      <c r="G627" s="87"/>
      <c r="H627" s="87"/>
      <c r="I627" s="87"/>
      <c r="J627" s="94"/>
      <c r="K627" s="87"/>
      <c r="L627" s="87"/>
      <c r="M627" s="87" t="s">
        <v>325</v>
      </c>
    </row>
    <row r="628" spans="1:20" ht="16.5" customHeight="1">
      <c r="A628" s="87">
        <v>32</v>
      </c>
      <c r="B628" s="96" t="s">
        <v>92</v>
      </c>
      <c r="C628" s="98">
        <v>4002215021438</v>
      </c>
      <c r="D628" s="93" t="s">
        <v>123</v>
      </c>
      <c r="E628" s="94">
        <f t="shared" si="43"/>
        <v>6373303.6500000004</v>
      </c>
      <c r="F628" s="104">
        <v>6373303.6500000004</v>
      </c>
      <c r="G628" s="87"/>
      <c r="H628" s="87"/>
      <c r="I628" s="87"/>
      <c r="J628" s="94"/>
      <c r="K628" s="87"/>
      <c r="L628" s="87"/>
      <c r="M628" s="87"/>
    </row>
    <row r="629" spans="1:20" ht="16.5" customHeight="1">
      <c r="A629" s="87">
        <v>33</v>
      </c>
      <c r="B629" s="96" t="s">
        <v>93</v>
      </c>
      <c r="C629" s="98">
        <v>4002205007265</v>
      </c>
      <c r="D629" s="93" t="s">
        <v>123</v>
      </c>
      <c r="E629" s="94">
        <f t="shared" si="43"/>
        <v>7102508</v>
      </c>
      <c r="F629" s="104">
        <v>7102508</v>
      </c>
      <c r="G629" s="87"/>
      <c r="H629" s="87"/>
      <c r="I629" s="87"/>
      <c r="J629" s="94"/>
      <c r="K629" s="87"/>
      <c r="L629" s="87"/>
      <c r="M629" s="87" t="s">
        <v>326</v>
      </c>
    </row>
    <row r="630" spans="1:20" ht="16.5" customHeight="1">
      <c r="A630" s="87">
        <v>34</v>
      </c>
      <c r="B630" s="96" t="s">
        <v>95</v>
      </c>
      <c r="C630" s="100">
        <v>4009205061263</v>
      </c>
      <c r="D630" s="106" t="s">
        <v>133</v>
      </c>
      <c r="E630" s="104">
        <f t="shared" si="43"/>
        <v>5341650</v>
      </c>
      <c r="F630" s="104">
        <v>5341650</v>
      </c>
      <c r="G630" s="87"/>
      <c r="H630" s="87"/>
      <c r="I630" s="87"/>
      <c r="J630" s="94"/>
      <c r="K630" s="87"/>
      <c r="L630" s="87"/>
      <c r="M630" s="87"/>
    </row>
    <row r="631" spans="1:20" ht="16.5" customHeight="1">
      <c r="A631" s="87">
        <v>35</v>
      </c>
      <c r="B631" s="96" t="s">
        <v>49</v>
      </c>
      <c r="C631" s="100">
        <v>4002215005330</v>
      </c>
      <c r="D631" s="93" t="s">
        <v>123</v>
      </c>
      <c r="E631" s="94">
        <f t="shared" si="43"/>
        <v>4752057</v>
      </c>
      <c r="F631" s="104">
        <v>4752057</v>
      </c>
      <c r="G631" s="87"/>
      <c r="H631" s="87"/>
      <c r="I631" s="87"/>
      <c r="J631" s="94"/>
      <c r="K631" s="87"/>
      <c r="L631" s="87"/>
      <c r="M631" s="87"/>
    </row>
    <row r="632" spans="1:20" ht="16.5" customHeight="1">
      <c r="A632" s="87">
        <v>36</v>
      </c>
      <c r="B632" s="96" t="s">
        <v>50</v>
      </c>
      <c r="C632" s="100">
        <v>4002215013758</v>
      </c>
      <c r="D632" s="93" t="s">
        <v>123</v>
      </c>
      <c r="E632" s="94">
        <f t="shared" si="43"/>
        <v>4111953</v>
      </c>
      <c r="F632" s="104">
        <v>4111953</v>
      </c>
      <c r="G632" s="87"/>
      <c r="H632" s="87"/>
      <c r="I632" s="87"/>
      <c r="J632" s="94"/>
      <c r="K632" s="87"/>
      <c r="L632" s="87"/>
      <c r="M632" s="87"/>
    </row>
    <row r="633" spans="1:20" ht="16.5" customHeight="1">
      <c r="A633" s="90" t="s">
        <v>134</v>
      </c>
      <c r="B633" s="88" t="s">
        <v>135</v>
      </c>
      <c r="C633" s="107"/>
      <c r="D633" s="103"/>
      <c r="E633" s="89">
        <f>E634</f>
        <v>3508400</v>
      </c>
      <c r="F633" s="89"/>
      <c r="G633" s="89">
        <f>G634</f>
        <v>3508400</v>
      </c>
      <c r="H633" s="87"/>
      <c r="I633" s="87"/>
      <c r="J633" s="89"/>
      <c r="K633" s="87"/>
      <c r="L633" s="87"/>
      <c r="M633" s="87"/>
    </row>
    <row r="634" spans="1:20" ht="16.5" customHeight="1">
      <c r="A634" s="87">
        <v>1</v>
      </c>
      <c r="B634" s="96" t="s">
        <v>51</v>
      </c>
      <c r="C634" s="100">
        <v>4002205034012</v>
      </c>
      <c r="D634" s="93" t="s">
        <v>123</v>
      </c>
      <c r="E634" s="108">
        <f>F634+G634+J634</f>
        <v>3508400</v>
      </c>
      <c r="F634" s="104"/>
      <c r="G634" s="104">
        <v>3508400</v>
      </c>
      <c r="H634" s="87"/>
      <c r="I634" s="87"/>
      <c r="J634" s="94"/>
      <c r="K634" s="87"/>
      <c r="L634" s="87"/>
      <c r="M634" s="87"/>
    </row>
    <row r="635" spans="1:20">
      <c r="A635" s="88" t="s">
        <v>136</v>
      </c>
      <c r="B635" s="109" t="s">
        <v>137</v>
      </c>
      <c r="C635" s="110"/>
      <c r="D635" s="87"/>
      <c r="E635" s="88">
        <v>0</v>
      </c>
      <c r="F635" s="88">
        <v>0</v>
      </c>
      <c r="G635" s="87"/>
      <c r="H635" s="87"/>
      <c r="I635" s="87"/>
      <c r="J635" s="94"/>
      <c r="K635" s="87"/>
      <c r="L635" s="87"/>
      <c r="M635" s="87"/>
    </row>
    <row r="636" spans="1:20" ht="18" customHeight="1">
      <c r="A636" s="1" t="s">
        <v>100</v>
      </c>
      <c r="C636" s="179" t="s">
        <v>324</v>
      </c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</row>
    <row r="637" spans="1:20" ht="15.75">
      <c r="A637" s="111" t="s">
        <v>138</v>
      </c>
      <c r="B637" s="111"/>
      <c r="C637" s="111"/>
      <c r="D637" s="111"/>
      <c r="E637" s="111"/>
      <c r="F637" s="111"/>
      <c r="G637" s="239" t="s">
        <v>305</v>
      </c>
      <c r="H637" s="239"/>
      <c r="I637" s="239"/>
      <c r="J637" s="239"/>
      <c r="K637" s="239"/>
      <c r="L637" s="239"/>
      <c r="M637" s="239"/>
    </row>
    <row r="638" spans="1:20" ht="18" customHeight="1">
      <c r="A638" s="112" t="s">
        <v>298</v>
      </c>
      <c r="B638" s="112"/>
      <c r="C638" s="113">
        <f>C569</f>
        <v>307105618.78090012</v>
      </c>
      <c r="D638" s="154" t="s">
        <v>297</v>
      </c>
      <c r="E638" s="154"/>
      <c r="F638" s="154"/>
      <c r="G638" s="244" t="s">
        <v>311</v>
      </c>
      <c r="H638" s="244"/>
      <c r="I638" s="244"/>
      <c r="J638" s="244"/>
      <c r="K638" s="244"/>
      <c r="L638" s="244"/>
      <c r="M638" s="244"/>
    </row>
    <row r="639" spans="1:20" ht="18" customHeight="1">
      <c r="A639" s="242" t="s">
        <v>139</v>
      </c>
      <c r="B639" s="242"/>
      <c r="C639" s="8">
        <v>3476576</v>
      </c>
      <c r="D639" s="243" t="s">
        <v>320</v>
      </c>
      <c r="E639" s="243"/>
      <c r="F639" s="243"/>
      <c r="G639" s="244" t="s">
        <v>306</v>
      </c>
      <c r="H639" s="244"/>
      <c r="I639" s="244"/>
      <c r="J639" s="244"/>
      <c r="K639" s="244"/>
      <c r="L639" s="244"/>
      <c r="M639" s="244"/>
      <c r="P639">
        <f>697999-644790</f>
        <v>53209</v>
      </c>
    </row>
    <row r="640" spans="1:20" ht="18" customHeight="1">
      <c r="A640" s="242" t="s">
        <v>141</v>
      </c>
      <c r="B640" s="242"/>
      <c r="C640" s="8">
        <v>0</v>
      </c>
      <c r="D640" s="243"/>
      <c r="E640" s="243"/>
      <c r="F640" s="243"/>
      <c r="G640" s="244" t="s">
        <v>307</v>
      </c>
      <c r="H640" s="244"/>
      <c r="I640" s="244"/>
      <c r="J640" s="244"/>
      <c r="K640" s="244"/>
      <c r="L640" s="244"/>
      <c r="M640" s="244"/>
      <c r="P640">
        <f>736205-671195</f>
        <v>65010</v>
      </c>
    </row>
    <row r="641" spans="1:16" ht="18.75" customHeight="1">
      <c r="A641" s="112" t="s">
        <v>312</v>
      </c>
      <c r="B641" s="112"/>
      <c r="C641" s="119">
        <f>C638+C639-C640</f>
        <v>310582194.78090012</v>
      </c>
      <c r="D641" s="154" t="s">
        <v>313</v>
      </c>
      <c r="E641" s="154"/>
      <c r="F641" s="154"/>
      <c r="G641" s="244" t="s">
        <v>308</v>
      </c>
      <c r="H641" s="244"/>
      <c r="I641" s="244"/>
      <c r="J641" s="244"/>
      <c r="K641" s="244"/>
      <c r="L641" s="244"/>
      <c r="M641" s="244"/>
      <c r="P641">
        <f>684797-635989</f>
        <v>48808</v>
      </c>
    </row>
    <row r="642" spans="1:16" ht="18.75" customHeight="1">
      <c r="A642" s="112"/>
      <c r="B642" s="112"/>
      <c r="C642" s="119"/>
      <c r="D642" s="154"/>
      <c r="E642" s="154"/>
      <c r="F642" s="154"/>
      <c r="G642" s="244" t="s">
        <v>309</v>
      </c>
      <c r="H642" s="244"/>
      <c r="I642" s="244"/>
      <c r="J642" s="244"/>
      <c r="K642" s="244"/>
      <c r="L642" s="244"/>
      <c r="M642" s="244"/>
    </row>
    <row r="643" spans="1:16" ht="18.75" customHeight="1">
      <c r="A643" s="112"/>
      <c r="B643" s="112"/>
      <c r="C643" s="119"/>
      <c r="D643" s="154"/>
      <c r="E643" s="154"/>
      <c r="F643" s="154"/>
      <c r="G643" s="244" t="s">
        <v>329</v>
      </c>
      <c r="H643" s="244"/>
      <c r="I643" s="244"/>
      <c r="J643" s="244"/>
      <c r="K643" s="244"/>
      <c r="L643" s="244"/>
      <c r="M643" s="244"/>
    </row>
    <row r="644" spans="1:16" ht="18.75" customHeight="1">
      <c r="A644" s="112"/>
      <c r="B644" s="112"/>
      <c r="C644" s="119"/>
      <c r="D644" s="154"/>
      <c r="E644" s="154"/>
      <c r="F644" s="154"/>
      <c r="G644" s="244" t="s">
        <v>330</v>
      </c>
      <c r="H644" s="244"/>
      <c r="I644" s="244"/>
      <c r="J644" s="244"/>
      <c r="K644" s="244"/>
      <c r="L644" s="244"/>
      <c r="M644" s="244"/>
    </row>
    <row r="645" spans="1:16" ht="18.75" customHeight="1">
      <c r="A645" s="112"/>
      <c r="B645" s="112"/>
      <c r="C645" s="119"/>
      <c r="D645" s="154"/>
      <c r="E645" s="154"/>
      <c r="F645" s="154"/>
      <c r="G645" s="244" t="s">
        <v>327</v>
      </c>
      <c r="H645" s="244"/>
      <c r="I645" s="244"/>
      <c r="J645" s="244"/>
      <c r="K645" s="244"/>
      <c r="L645" s="244"/>
      <c r="M645" s="244"/>
    </row>
    <row r="646" spans="1:16" ht="18.75" customHeight="1">
      <c r="A646" s="112"/>
      <c r="B646" s="112"/>
      <c r="C646" s="119"/>
      <c r="D646" s="154"/>
      <c r="E646" s="154"/>
      <c r="F646" s="154"/>
      <c r="G646" s="244" t="s">
        <v>328</v>
      </c>
      <c r="H646" s="244"/>
      <c r="I646" s="244"/>
      <c r="J646" s="244"/>
      <c r="K646" s="244"/>
      <c r="L646" s="244"/>
      <c r="M646" s="244"/>
    </row>
    <row r="647" spans="1:16" ht="18.75" customHeight="1">
      <c r="A647" s="112"/>
      <c r="B647" s="112"/>
      <c r="C647" s="119"/>
      <c r="D647" s="154"/>
      <c r="E647" s="154"/>
      <c r="F647" s="154"/>
      <c r="G647" s="244" t="s">
        <v>332</v>
      </c>
      <c r="H647" s="244"/>
      <c r="I647" s="244"/>
      <c r="J647" s="244"/>
      <c r="K647" s="244"/>
      <c r="L647" s="244"/>
      <c r="M647" s="244"/>
    </row>
    <row r="648" spans="1:16" ht="18.75" customHeight="1">
      <c r="A648" s="112"/>
      <c r="B648" s="112"/>
      <c r="C648" s="119"/>
      <c r="D648" s="154"/>
      <c r="E648" s="154"/>
      <c r="F648" s="154"/>
      <c r="G648" s="244" t="s">
        <v>331</v>
      </c>
      <c r="H648" s="244"/>
      <c r="I648" s="244"/>
      <c r="J648" s="244"/>
      <c r="K648" s="244"/>
      <c r="L648" s="244"/>
      <c r="M648" s="244"/>
    </row>
    <row r="649" spans="1:16" ht="18.75" customHeight="1">
      <c r="A649" s="112"/>
      <c r="B649" s="112"/>
      <c r="C649" s="119"/>
      <c r="D649" s="154"/>
      <c r="E649" s="154"/>
      <c r="F649" s="154"/>
      <c r="G649" s="177"/>
      <c r="H649" s="177"/>
      <c r="I649" s="177"/>
      <c r="J649" s="177"/>
      <c r="K649" s="177"/>
      <c r="L649" s="177"/>
      <c r="M649" s="177"/>
    </row>
    <row r="650" spans="1:16" ht="18.75" customHeight="1">
      <c r="A650" s="112"/>
      <c r="B650" s="112"/>
      <c r="C650" s="119"/>
      <c r="D650" s="154"/>
      <c r="E650" s="154"/>
      <c r="F650" s="154"/>
      <c r="G650" s="177"/>
      <c r="H650" s="177"/>
      <c r="I650" s="177"/>
      <c r="J650" s="177"/>
      <c r="K650" s="177"/>
      <c r="L650" s="177"/>
      <c r="M650" s="177"/>
    </row>
    <row r="651" spans="1:16" ht="18.75" customHeight="1">
      <c r="A651" s="112"/>
      <c r="B651" s="112"/>
      <c r="C651" s="119"/>
      <c r="D651" s="154"/>
      <c r="E651" s="154"/>
      <c r="F651" s="154"/>
      <c r="G651" s="180"/>
      <c r="H651" s="180"/>
      <c r="I651" s="180"/>
      <c r="J651" s="180"/>
      <c r="K651" s="180"/>
      <c r="L651" s="180"/>
      <c r="M651" s="180"/>
    </row>
    <row r="652" spans="1:16" ht="18.75" customHeight="1">
      <c r="A652" s="112"/>
      <c r="B652" s="112"/>
      <c r="C652" s="119"/>
      <c r="D652" s="154"/>
      <c r="E652" s="154"/>
      <c r="F652" s="154"/>
      <c r="G652" s="180"/>
      <c r="H652" s="180"/>
      <c r="I652" s="180"/>
      <c r="J652" s="180"/>
      <c r="K652" s="180"/>
      <c r="L652" s="180"/>
      <c r="M652" s="180"/>
    </row>
    <row r="653" spans="1:16">
      <c r="A653" s="173"/>
      <c r="B653" s="173"/>
      <c r="C653" s="173"/>
      <c r="D653" s="173"/>
      <c r="E653" s="115"/>
      <c r="F653" s="82"/>
      <c r="G653" s="82"/>
      <c r="H653" s="241" t="s">
        <v>310</v>
      </c>
      <c r="I653" s="241"/>
      <c r="J653" s="241"/>
      <c r="K653" s="241"/>
      <c r="L653" s="241"/>
      <c r="M653" s="241"/>
    </row>
    <row r="654" spans="1:16" ht="15.75">
      <c r="A654" s="82"/>
      <c r="B654" s="82"/>
      <c r="C654" s="239" t="s">
        <v>142</v>
      </c>
      <c r="D654" s="239"/>
      <c r="E654" s="239" t="s">
        <v>79</v>
      </c>
      <c r="F654" s="239"/>
      <c r="G654" s="239"/>
      <c r="H654" s="239" t="s">
        <v>143</v>
      </c>
      <c r="I654" s="239"/>
      <c r="J654" s="239"/>
      <c r="K654" s="239"/>
      <c r="L654" s="239"/>
      <c r="M654" s="239"/>
    </row>
    <row r="655" spans="1:16">
      <c r="A655" s="82"/>
      <c r="B655" s="82"/>
      <c r="C655" s="242" t="s">
        <v>144</v>
      </c>
      <c r="D655" s="242"/>
      <c r="E655" s="242" t="s">
        <v>145</v>
      </c>
      <c r="F655" s="242"/>
      <c r="G655" s="242"/>
      <c r="H655" s="242" t="s">
        <v>146</v>
      </c>
      <c r="I655" s="242"/>
      <c r="J655" s="242"/>
      <c r="K655" s="242"/>
      <c r="L655" s="242"/>
      <c r="M655" s="242"/>
    </row>
    <row r="656" spans="1:16">
      <c r="A656" s="82"/>
      <c r="B656" s="82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</row>
    <row r="657" spans="1:13">
      <c r="A657" s="82"/>
      <c r="B657" s="82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</row>
    <row r="658" spans="1:13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</row>
    <row r="659" spans="1:13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</row>
    <row r="660" spans="1:13" ht="15.75">
      <c r="A660" s="82"/>
      <c r="B660" s="82"/>
      <c r="C660" s="239" t="s">
        <v>59</v>
      </c>
      <c r="D660" s="239"/>
      <c r="E660" s="239" t="s">
        <v>59</v>
      </c>
      <c r="F660" s="239"/>
      <c r="G660" s="239"/>
      <c r="H660" s="239" t="s">
        <v>60</v>
      </c>
      <c r="I660" s="239"/>
      <c r="J660" s="239"/>
      <c r="K660" s="239"/>
      <c r="L660" s="239"/>
      <c r="M660" s="239"/>
    </row>
    <row r="661" spans="1:13">
      <c r="A661" s="240" t="s">
        <v>147</v>
      </c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</row>
    <row r="662" spans="1:13">
      <c r="A662" s="82"/>
      <c r="B662" s="82"/>
      <c r="C662" s="82"/>
      <c r="D662" s="82"/>
      <c r="E662" s="82"/>
      <c r="F662" s="82"/>
      <c r="G662" s="241" t="s">
        <v>157</v>
      </c>
      <c r="H662" s="241"/>
      <c r="I662" s="241"/>
      <c r="J662" s="241"/>
      <c r="K662" s="241"/>
      <c r="L662" s="241"/>
      <c r="M662" s="241"/>
    </row>
    <row r="663" spans="1:13" ht="15.75">
      <c r="A663" s="82"/>
      <c r="B663" s="240" t="s">
        <v>148</v>
      </c>
      <c r="C663" s="240"/>
      <c r="D663" s="240"/>
      <c r="E663" s="240"/>
      <c r="F663" s="240"/>
      <c r="G663" s="239" t="s">
        <v>149</v>
      </c>
      <c r="H663" s="239"/>
      <c r="I663" s="239"/>
      <c r="J663" s="239"/>
      <c r="K663" s="239"/>
      <c r="L663" s="239"/>
      <c r="M663" s="239"/>
    </row>
    <row r="664" spans="1:13" ht="15.75">
      <c r="A664" s="82"/>
      <c r="B664" s="171"/>
      <c r="C664" s="171"/>
      <c r="D664" s="171"/>
      <c r="E664" s="171"/>
      <c r="F664" s="171"/>
      <c r="G664" s="172"/>
      <c r="H664" s="172"/>
      <c r="I664" s="172"/>
      <c r="J664" s="172"/>
      <c r="K664" s="172"/>
      <c r="L664" s="172"/>
      <c r="M664" s="172"/>
    </row>
    <row r="690" spans="1:13" ht="18.75">
      <c r="A690" s="253" t="s">
        <v>102</v>
      </c>
      <c r="B690" s="253"/>
      <c r="C690" s="253"/>
      <c r="D690" s="253"/>
      <c r="E690" s="253"/>
      <c r="F690" s="253"/>
      <c r="G690" s="253"/>
      <c r="H690" s="253"/>
      <c r="I690" s="253"/>
      <c r="J690" s="253"/>
      <c r="K690" s="242" t="s">
        <v>103</v>
      </c>
      <c r="L690" s="242"/>
      <c r="M690" s="81"/>
    </row>
    <row r="691" spans="1:13" ht="18.75">
      <c r="A691" s="254" t="s">
        <v>349</v>
      </c>
      <c r="B691" s="254"/>
      <c r="C691" s="254"/>
      <c r="D691" s="254"/>
      <c r="E691" s="254"/>
      <c r="F691" s="254"/>
      <c r="G691" s="254"/>
      <c r="H691" s="254"/>
      <c r="I691" s="254"/>
      <c r="J691" s="254"/>
      <c r="K691" s="255" t="s">
        <v>215</v>
      </c>
      <c r="L691" s="255"/>
      <c r="M691" s="82"/>
    </row>
    <row r="692" spans="1:13" ht="18" customHeight="1">
      <c r="A692" s="185"/>
      <c r="B692" s="185"/>
      <c r="C692" s="254" t="s">
        <v>104</v>
      </c>
      <c r="D692" s="254"/>
      <c r="E692" s="254"/>
      <c r="F692" s="254"/>
      <c r="G692" s="254"/>
      <c r="H692" s="254"/>
      <c r="I692" s="254"/>
      <c r="J692" s="185"/>
      <c r="K692" s="185"/>
      <c r="L692" s="185"/>
      <c r="M692" s="82"/>
    </row>
    <row r="693" spans="1:13" ht="16.5">
      <c r="A693" s="256" t="s">
        <v>105</v>
      </c>
      <c r="B693" s="256"/>
      <c r="C693" s="256"/>
      <c r="D693" s="256"/>
      <c r="E693" s="256"/>
      <c r="F693" s="256"/>
      <c r="G693" s="256"/>
      <c r="H693" s="256"/>
      <c r="I693" s="256"/>
      <c r="J693" s="256"/>
      <c r="K693" s="256"/>
      <c r="L693" s="256"/>
      <c r="M693" s="82"/>
    </row>
    <row r="694" spans="1:13" ht="16.5">
      <c r="A694" s="256" t="s">
        <v>106</v>
      </c>
      <c r="B694" s="256"/>
      <c r="C694" s="256"/>
      <c r="D694" s="256"/>
      <c r="E694" s="256"/>
      <c r="F694" s="256"/>
      <c r="G694" s="256"/>
      <c r="H694" s="256"/>
      <c r="I694" s="256"/>
      <c r="J694" s="256"/>
      <c r="K694" s="256"/>
      <c r="L694" s="256"/>
      <c r="M694" s="82"/>
    </row>
    <row r="695" spans="1:13" ht="16.5">
      <c r="A695" s="256" t="s">
        <v>107</v>
      </c>
      <c r="B695" s="256"/>
      <c r="C695" s="256"/>
      <c r="D695" s="256"/>
      <c r="E695" s="256"/>
      <c r="F695" s="256"/>
      <c r="G695" s="256"/>
      <c r="H695" s="256"/>
      <c r="I695" s="256"/>
      <c r="J695" s="256"/>
      <c r="K695" s="256"/>
      <c r="L695" s="256"/>
      <c r="M695" s="82"/>
    </row>
    <row r="696" spans="1:13" ht="15.75">
      <c r="A696" s="257" t="s">
        <v>336</v>
      </c>
      <c r="B696" s="257"/>
      <c r="C696" s="257"/>
      <c r="D696" s="257"/>
      <c r="E696" s="257"/>
      <c r="F696" s="257"/>
      <c r="G696" s="257"/>
      <c r="H696" s="257"/>
      <c r="I696" s="257"/>
      <c r="J696" s="257"/>
      <c r="K696" s="257"/>
      <c r="L696" s="257"/>
      <c r="M696" s="82"/>
    </row>
    <row r="697" spans="1:13">
      <c r="A697" s="245" t="s">
        <v>0</v>
      </c>
      <c r="B697" s="247" t="s">
        <v>108</v>
      </c>
      <c r="C697" s="249" t="s">
        <v>109</v>
      </c>
      <c r="D697" s="249"/>
      <c r="E697" s="247" t="s">
        <v>110</v>
      </c>
      <c r="F697" s="250" t="s">
        <v>111</v>
      </c>
      <c r="G697" s="251"/>
      <c r="H697" s="251"/>
      <c r="I697" s="251"/>
      <c r="J697" s="251"/>
      <c r="K697" s="251"/>
      <c r="L697" s="252"/>
      <c r="M697" s="247" t="s">
        <v>57</v>
      </c>
    </row>
    <row r="698" spans="1:13" ht="42">
      <c r="A698" s="246"/>
      <c r="B698" s="248"/>
      <c r="C698" s="84" t="s">
        <v>112</v>
      </c>
      <c r="D698" s="84" t="s">
        <v>113</v>
      </c>
      <c r="E698" s="248"/>
      <c r="F698" s="84" t="s">
        <v>114</v>
      </c>
      <c r="G698" s="85" t="s">
        <v>115</v>
      </c>
      <c r="H698" s="85" t="s">
        <v>116</v>
      </c>
      <c r="I698" s="84" t="s">
        <v>117</v>
      </c>
      <c r="J698" s="84" t="s">
        <v>118</v>
      </c>
      <c r="K698" s="84" t="s">
        <v>119</v>
      </c>
      <c r="L698" s="84" t="s">
        <v>120</v>
      </c>
      <c r="M698" s="248"/>
    </row>
    <row r="699" spans="1:13">
      <c r="A699" s="86">
        <v>1</v>
      </c>
      <c r="B699" s="86">
        <v>2</v>
      </c>
      <c r="C699" s="86">
        <v>3</v>
      </c>
      <c r="D699" s="86"/>
      <c r="E699" s="86">
        <v>4</v>
      </c>
      <c r="F699" s="86">
        <v>5</v>
      </c>
      <c r="G699" s="86">
        <v>6</v>
      </c>
      <c r="H699" s="86">
        <v>7</v>
      </c>
      <c r="I699" s="86">
        <v>8</v>
      </c>
      <c r="J699" s="86">
        <v>9</v>
      </c>
      <c r="K699" s="86">
        <v>10</v>
      </c>
      <c r="L699" s="86">
        <v>11</v>
      </c>
      <c r="M699" s="86">
        <v>12</v>
      </c>
    </row>
    <row r="700" spans="1:13">
      <c r="A700" s="87"/>
      <c r="B700" s="88" t="s">
        <v>110</v>
      </c>
      <c r="C700" s="87"/>
      <c r="D700" s="87"/>
      <c r="E700" s="89">
        <f>E701+E738+E740</f>
        <v>310796994.82664996</v>
      </c>
      <c r="F700" s="89">
        <f>F701+F738+F740</f>
        <v>307073794.82664996</v>
      </c>
      <c r="G700" s="89">
        <f t="shared" ref="G700:J700" si="44">G701+G738+G740</f>
        <v>3723200</v>
      </c>
      <c r="H700" s="89">
        <f t="shared" si="44"/>
        <v>0</v>
      </c>
      <c r="I700" s="89">
        <f t="shared" si="44"/>
        <v>0</v>
      </c>
      <c r="J700" s="89">
        <f t="shared" si="44"/>
        <v>0</v>
      </c>
      <c r="K700" s="87"/>
      <c r="L700" s="87"/>
      <c r="M700" s="87"/>
    </row>
    <row r="701" spans="1:13">
      <c r="A701" s="90" t="s">
        <v>121</v>
      </c>
      <c r="B701" s="88" t="s">
        <v>122</v>
      </c>
      <c r="C701" s="87"/>
      <c r="D701" s="87"/>
      <c r="E701" s="89">
        <f>SUM(E702:E737)</f>
        <v>307073794.82664996</v>
      </c>
      <c r="F701" s="89">
        <f>SUM(F702:F737)</f>
        <v>307073794.82664996</v>
      </c>
      <c r="G701" s="89">
        <f t="shared" ref="G701:J701" si="45">SUM(G702:G737)</f>
        <v>0</v>
      </c>
      <c r="H701" s="89">
        <f t="shared" si="45"/>
        <v>0</v>
      </c>
      <c r="I701" s="89">
        <f t="shared" si="45"/>
        <v>0</v>
      </c>
      <c r="J701" s="89">
        <f t="shared" si="45"/>
        <v>0</v>
      </c>
      <c r="K701" s="87"/>
      <c r="L701" s="87"/>
      <c r="M701" s="87"/>
    </row>
    <row r="702" spans="1:13" ht="15.75">
      <c r="A702" s="87">
        <v>1</v>
      </c>
      <c r="B702" s="91" t="s">
        <v>60</v>
      </c>
      <c r="C702" s="92">
        <v>4002205008058</v>
      </c>
      <c r="D702" s="93" t="s">
        <v>123</v>
      </c>
      <c r="E702" s="94">
        <f>SUM(F702:L702)</f>
        <v>11379448.859999999</v>
      </c>
      <c r="F702" s="95">
        <v>11379448.859999999</v>
      </c>
      <c r="G702" s="87"/>
      <c r="H702" s="87"/>
      <c r="I702" s="87"/>
      <c r="J702" s="94"/>
      <c r="K702" s="87"/>
      <c r="L702" s="87"/>
      <c r="M702" s="87"/>
    </row>
    <row r="703" spans="1:13" ht="15.75">
      <c r="A703" s="87">
        <v>2</v>
      </c>
      <c r="B703" s="96" t="s">
        <v>28</v>
      </c>
      <c r="C703" s="92">
        <v>4002215013939</v>
      </c>
      <c r="D703" s="93" t="s">
        <v>123</v>
      </c>
      <c r="E703" s="94">
        <f t="shared" ref="E703:E712" si="46">SUM(F703:L703)</f>
        <v>11335386.907800004</v>
      </c>
      <c r="F703" s="95">
        <v>11335386.907800004</v>
      </c>
      <c r="G703" s="87"/>
      <c r="H703" s="87"/>
      <c r="I703" s="87"/>
      <c r="J703" s="94"/>
      <c r="K703" s="87"/>
      <c r="L703" s="87"/>
      <c r="M703" s="87"/>
    </row>
    <row r="704" spans="1:13" ht="15.75">
      <c r="A704" s="87">
        <v>3</v>
      </c>
      <c r="B704" s="96" t="s">
        <v>30</v>
      </c>
      <c r="C704" s="92">
        <v>4002205008353</v>
      </c>
      <c r="D704" s="93" t="s">
        <v>123</v>
      </c>
      <c r="E704" s="94">
        <f t="shared" si="46"/>
        <v>11593931.41725</v>
      </c>
      <c r="F704" s="95">
        <v>11593931.41725</v>
      </c>
      <c r="G704" s="87"/>
      <c r="H704" s="87"/>
      <c r="I704" s="87"/>
      <c r="J704" s="94"/>
      <c r="K704" s="87"/>
      <c r="L704" s="87"/>
      <c r="M704" s="93"/>
    </row>
    <row r="705" spans="1:13" ht="15.75">
      <c r="A705" s="87">
        <v>4</v>
      </c>
      <c r="B705" s="96" t="s">
        <v>32</v>
      </c>
      <c r="C705" s="92">
        <v>4002205007706</v>
      </c>
      <c r="D705" s="93" t="s">
        <v>123</v>
      </c>
      <c r="E705" s="94">
        <f t="shared" si="46"/>
        <v>11331769.828500003</v>
      </c>
      <c r="F705" s="95">
        <v>11331769.828500003</v>
      </c>
      <c r="G705" s="97"/>
      <c r="H705" s="87"/>
      <c r="I705" s="87"/>
      <c r="J705" s="94"/>
      <c r="K705" s="87"/>
      <c r="L705" s="87"/>
      <c r="M705" s="87"/>
    </row>
    <row r="706" spans="1:13" ht="15.75">
      <c r="A706" s="87">
        <v>5</v>
      </c>
      <c r="B706" s="96" t="s">
        <v>124</v>
      </c>
      <c r="C706" s="92">
        <v>4002205007577</v>
      </c>
      <c r="D706" s="93" t="s">
        <v>123</v>
      </c>
      <c r="E706" s="94">
        <f t="shared" si="46"/>
        <v>11834568.153100003</v>
      </c>
      <c r="F706" s="95">
        <v>11834568.153100003</v>
      </c>
      <c r="G706" s="87"/>
      <c r="H706" s="87"/>
      <c r="I706" s="87"/>
      <c r="J706" s="94"/>
      <c r="K706" s="87"/>
      <c r="L706" s="87"/>
      <c r="M706" s="87"/>
    </row>
    <row r="707" spans="1:13" ht="15.75">
      <c r="A707" s="87">
        <v>6</v>
      </c>
      <c r="B707" s="96" t="s">
        <v>84</v>
      </c>
      <c r="C707" s="92">
        <v>4002205099727</v>
      </c>
      <c r="D707" s="93" t="s">
        <v>123</v>
      </c>
      <c r="E707" s="94">
        <f t="shared" si="46"/>
        <v>10846659.130000001</v>
      </c>
      <c r="F707" s="95">
        <v>10846659.130000001</v>
      </c>
      <c r="G707" s="87"/>
      <c r="H707" s="87"/>
      <c r="I707" s="87"/>
      <c r="J707" s="94"/>
      <c r="K707" s="87"/>
      <c r="L707" s="87"/>
      <c r="M707" s="93"/>
    </row>
    <row r="708" spans="1:13" ht="15.75">
      <c r="A708" s="87">
        <v>7</v>
      </c>
      <c r="B708" s="96" t="s">
        <v>31</v>
      </c>
      <c r="C708" s="98">
        <v>4002215005454</v>
      </c>
      <c r="D708" s="93" t="s">
        <v>123</v>
      </c>
      <c r="E708" s="94">
        <f t="shared" si="46"/>
        <v>10467575.564999999</v>
      </c>
      <c r="F708" s="95">
        <v>10467575.564999999</v>
      </c>
      <c r="G708" s="87"/>
      <c r="H708" s="87"/>
      <c r="I708" s="87"/>
      <c r="J708" s="94"/>
      <c r="K708" s="87"/>
      <c r="L708" s="87"/>
      <c r="M708" s="87"/>
    </row>
    <row r="709" spans="1:13" ht="15.75">
      <c r="A709" s="87">
        <v>8</v>
      </c>
      <c r="B709" s="96" t="s">
        <v>125</v>
      </c>
      <c r="C709" s="92">
        <v>4002215005369</v>
      </c>
      <c r="D709" s="93" t="s">
        <v>123</v>
      </c>
      <c r="E709" s="94">
        <f t="shared" si="46"/>
        <v>10394587.17</v>
      </c>
      <c r="F709" s="95">
        <v>10394587.17</v>
      </c>
      <c r="G709" s="87"/>
      <c r="H709" s="87"/>
      <c r="I709" s="87"/>
      <c r="J709" s="94"/>
      <c r="K709" s="87"/>
      <c r="L709" s="87"/>
      <c r="M709" s="93"/>
    </row>
    <row r="710" spans="1:13" ht="15.75">
      <c r="A710" s="87">
        <v>9</v>
      </c>
      <c r="B710" s="96" t="s">
        <v>33</v>
      </c>
      <c r="C710" s="98">
        <v>4002215013980</v>
      </c>
      <c r="D710" s="93" t="s">
        <v>123</v>
      </c>
      <c r="E710" s="94">
        <f t="shared" si="46"/>
        <v>10058565.350000001</v>
      </c>
      <c r="F710" s="95">
        <v>10058565.350000001</v>
      </c>
      <c r="G710" s="97"/>
      <c r="H710" s="87"/>
      <c r="I710" s="87"/>
      <c r="J710" s="94"/>
      <c r="K710" s="87"/>
      <c r="L710" s="87"/>
      <c r="M710" s="93"/>
    </row>
    <row r="711" spans="1:13" ht="15.75">
      <c r="A711" s="87">
        <v>10</v>
      </c>
      <c r="B711" s="96" t="s">
        <v>34</v>
      </c>
      <c r="C711" s="92">
        <v>4002215014006</v>
      </c>
      <c r="D711" s="93" t="s">
        <v>123</v>
      </c>
      <c r="E711" s="94">
        <f t="shared" si="46"/>
        <v>8786553.8400000017</v>
      </c>
      <c r="F711" s="95">
        <v>8786553.8400000017</v>
      </c>
      <c r="G711" s="87"/>
      <c r="H711" s="87"/>
      <c r="I711" s="87"/>
      <c r="J711" s="94"/>
      <c r="K711" s="87"/>
      <c r="L711" s="87"/>
      <c r="M711" s="93"/>
    </row>
    <row r="712" spans="1:13" ht="15.75">
      <c r="A712" s="87">
        <v>11</v>
      </c>
      <c r="B712" s="99" t="s">
        <v>36</v>
      </c>
      <c r="C712" s="98">
        <v>4002215020718</v>
      </c>
      <c r="D712" s="93" t="s">
        <v>123</v>
      </c>
      <c r="E712" s="94">
        <f t="shared" si="46"/>
        <v>9253615.1999999993</v>
      </c>
      <c r="F712" s="95">
        <v>9253615.1999999993</v>
      </c>
      <c r="G712" s="87"/>
      <c r="H712" s="87"/>
      <c r="I712" s="87"/>
      <c r="J712" s="94"/>
      <c r="K712" s="87"/>
      <c r="L712" s="87"/>
      <c r="M712" s="87"/>
    </row>
    <row r="713" spans="1:13" ht="15.75">
      <c r="A713" s="87">
        <v>12</v>
      </c>
      <c r="B713" s="96" t="s">
        <v>59</v>
      </c>
      <c r="C713" s="92">
        <v>4002215018587</v>
      </c>
      <c r="D713" s="93" t="s">
        <v>123</v>
      </c>
      <c r="E713" s="94">
        <f>SUM(F713:L713)</f>
        <v>6109968.4999999991</v>
      </c>
      <c r="F713" s="95">
        <v>6109968.4999999991</v>
      </c>
      <c r="G713" s="97"/>
      <c r="H713" s="87"/>
      <c r="I713" s="87"/>
      <c r="J713" s="94"/>
      <c r="K713" s="87"/>
      <c r="L713" s="87"/>
      <c r="M713" s="87"/>
    </row>
    <row r="714" spans="1:13" ht="15.75">
      <c r="A714" s="87">
        <v>13</v>
      </c>
      <c r="B714" s="96" t="s">
        <v>126</v>
      </c>
      <c r="C714" s="98">
        <v>4002215013945</v>
      </c>
      <c r="D714" s="93" t="s">
        <v>123</v>
      </c>
      <c r="E714" s="94">
        <f t="shared" ref="E714:E718" si="47">SUM(F714:L714)</f>
        <v>9519759</v>
      </c>
      <c r="F714" s="95">
        <v>9519759</v>
      </c>
      <c r="G714" s="87"/>
      <c r="H714" s="87"/>
      <c r="I714" s="87"/>
      <c r="J714" s="94"/>
      <c r="K714" s="87"/>
      <c r="L714" s="87"/>
      <c r="M714" s="87"/>
    </row>
    <row r="715" spans="1:13" ht="15.75">
      <c r="A715" s="87">
        <v>14</v>
      </c>
      <c r="B715" s="96" t="s">
        <v>37</v>
      </c>
      <c r="C715" s="98">
        <v>4002205015211</v>
      </c>
      <c r="D715" s="93" t="s">
        <v>123</v>
      </c>
      <c r="E715" s="94">
        <f t="shared" si="47"/>
        <v>8844163.1999999993</v>
      </c>
      <c r="F715" s="95">
        <v>8844163.1999999993</v>
      </c>
      <c r="G715" s="87"/>
      <c r="H715" s="87"/>
      <c r="I715" s="87"/>
      <c r="J715" s="94"/>
      <c r="K715" s="87"/>
      <c r="L715" s="87"/>
      <c r="M715" s="87"/>
    </row>
    <row r="716" spans="1:13" ht="15.75">
      <c r="A716" s="87">
        <v>15</v>
      </c>
      <c r="B716" s="96" t="s">
        <v>127</v>
      </c>
      <c r="C716" s="92">
        <v>4002215013793</v>
      </c>
      <c r="D716" s="93" t="s">
        <v>123</v>
      </c>
      <c r="E716" s="94">
        <f t="shared" si="47"/>
        <v>8844163.1999999993</v>
      </c>
      <c r="F716" s="95">
        <v>8844163.1999999993</v>
      </c>
      <c r="G716" s="87"/>
      <c r="H716" s="87"/>
      <c r="I716" s="87"/>
      <c r="J716" s="94"/>
      <c r="K716" s="87"/>
      <c r="L716" s="87"/>
      <c r="M716" s="87"/>
    </row>
    <row r="717" spans="1:13" ht="15.75">
      <c r="A717" s="87">
        <v>16</v>
      </c>
      <c r="B717" s="96" t="s">
        <v>38</v>
      </c>
      <c r="C717" s="98">
        <v>4002215013895</v>
      </c>
      <c r="D717" s="93" t="s">
        <v>123</v>
      </c>
      <c r="E717" s="94">
        <f t="shared" si="47"/>
        <v>8728944.4800000004</v>
      </c>
      <c r="F717" s="95">
        <v>8728944.4800000004</v>
      </c>
      <c r="G717" s="87"/>
      <c r="H717" s="87"/>
      <c r="I717" s="87"/>
      <c r="J717" s="94"/>
      <c r="K717" s="87"/>
      <c r="L717" s="87"/>
      <c r="M717" s="87"/>
    </row>
    <row r="718" spans="1:13" ht="15.75">
      <c r="A718" s="87">
        <v>17</v>
      </c>
      <c r="B718" s="96" t="s">
        <v>128</v>
      </c>
      <c r="C718" s="98">
        <v>4002215005483</v>
      </c>
      <c r="D718" s="93" t="s">
        <v>123</v>
      </c>
      <c r="E718" s="94">
        <f t="shared" si="47"/>
        <v>8728944.4800000004</v>
      </c>
      <c r="F718" s="95">
        <v>8728944.4800000004</v>
      </c>
      <c r="G718" s="87"/>
      <c r="H718" s="87"/>
      <c r="I718" s="87"/>
      <c r="J718" s="94"/>
      <c r="K718" s="87"/>
      <c r="L718" s="87"/>
      <c r="M718" s="87"/>
    </row>
    <row r="719" spans="1:13" ht="15.75">
      <c r="A719" s="87">
        <v>18</v>
      </c>
      <c r="B719" s="96" t="s">
        <v>91</v>
      </c>
      <c r="C719" s="100">
        <v>4001205046288</v>
      </c>
      <c r="D719" s="93" t="s">
        <v>129</v>
      </c>
      <c r="E719" s="94">
        <f>SUM(F719:L719)</f>
        <v>9826848</v>
      </c>
      <c r="F719" s="101">
        <v>9826848</v>
      </c>
      <c r="G719" s="87"/>
      <c r="H719" s="87"/>
      <c r="I719" s="87"/>
      <c r="J719" s="94"/>
      <c r="K719" s="87"/>
      <c r="L719" s="87"/>
      <c r="M719" s="87"/>
    </row>
    <row r="720" spans="1:13" ht="15.75">
      <c r="A720" s="87">
        <v>19</v>
      </c>
      <c r="B720" s="99" t="s">
        <v>39</v>
      </c>
      <c r="C720" s="98">
        <v>4002205007627</v>
      </c>
      <c r="D720" s="93" t="s">
        <v>123</v>
      </c>
      <c r="E720" s="94">
        <f t="shared" ref="E720:E737" si="48">SUM(F720:L720)</f>
        <v>8959381.9200000018</v>
      </c>
      <c r="F720" s="95">
        <v>8959381.9200000018</v>
      </c>
      <c r="G720" s="87"/>
      <c r="H720" s="87"/>
      <c r="I720" s="87"/>
      <c r="J720" s="94"/>
      <c r="K720" s="87"/>
      <c r="L720" s="87"/>
      <c r="M720" s="93"/>
    </row>
    <row r="721" spans="1:13" ht="15" customHeight="1">
      <c r="A721" s="87">
        <v>20</v>
      </c>
      <c r="B721" s="96" t="s">
        <v>40</v>
      </c>
      <c r="C721" s="98">
        <v>4002205008006</v>
      </c>
      <c r="D721" s="93" t="s">
        <v>123</v>
      </c>
      <c r="E721" s="94">
        <f t="shared" si="48"/>
        <v>8304620.7900000019</v>
      </c>
      <c r="F721" s="95">
        <v>8304620.7900000019</v>
      </c>
      <c r="G721" s="87"/>
      <c r="H721" s="87"/>
      <c r="I721" s="87"/>
      <c r="J721" s="94"/>
      <c r="K721" s="87"/>
      <c r="L721" s="87"/>
      <c r="M721" s="87"/>
    </row>
    <row r="722" spans="1:13" ht="15.75">
      <c r="A722" s="87">
        <v>21</v>
      </c>
      <c r="B722" s="96" t="s">
        <v>130</v>
      </c>
      <c r="C722" s="102">
        <v>4002215013808</v>
      </c>
      <c r="D722" s="93" t="s">
        <v>123</v>
      </c>
      <c r="E722" s="94">
        <f t="shared" si="48"/>
        <v>8008941.4649999999</v>
      </c>
      <c r="F722" s="95">
        <v>8008941.4649999999</v>
      </c>
      <c r="G722" s="87"/>
      <c r="H722" s="87"/>
      <c r="I722" s="87"/>
      <c r="J722" s="94"/>
      <c r="K722" s="87"/>
      <c r="L722" s="87"/>
      <c r="M722" s="87"/>
    </row>
    <row r="723" spans="1:13" ht="15.75">
      <c r="A723" s="87">
        <v>22</v>
      </c>
      <c r="B723" s="99" t="s">
        <v>41</v>
      </c>
      <c r="C723" s="98">
        <v>4002215005490</v>
      </c>
      <c r="D723" s="93" t="s">
        <v>123</v>
      </c>
      <c r="E723" s="94">
        <f t="shared" si="48"/>
        <v>8008941.4649999999</v>
      </c>
      <c r="F723" s="95">
        <v>8008941.4649999999</v>
      </c>
      <c r="G723" s="97"/>
      <c r="H723" s="87"/>
      <c r="I723" s="87"/>
      <c r="J723" s="94"/>
      <c r="K723" s="87"/>
      <c r="L723" s="87"/>
      <c r="M723" s="87"/>
    </row>
    <row r="724" spans="1:13" ht="15.75">
      <c r="A724" s="87">
        <v>23</v>
      </c>
      <c r="B724" s="99" t="s">
        <v>42</v>
      </c>
      <c r="C724" s="98">
        <v>4002215005425</v>
      </c>
      <c r="D724" s="93" t="s">
        <v>123</v>
      </c>
      <c r="E724" s="94">
        <f t="shared" si="48"/>
        <v>8820335.1199999992</v>
      </c>
      <c r="F724" s="95">
        <v>8820335.1199999992</v>
      </c>
      <c r="G724" s="87"/>
      <c r="H724" s="87"/>
      <c r="I724" s="87"/>
      <c r="J724" s="94"/>
      <c r="K724" s="87"/>
      <c r="L724" s="87"/>
      <c r="M724" s="87"/>
    </row>
    <row r="725" spans="1:13">
      <c r="A725" s="87">
        <v>24</v>
      </c>
      <c r="B725" s="87" t="s">
        <v>131</v>
      </c>
      <c r="C725" s="92">
        <v>4002215005280</v>
      </c>
      <c r="D725" s="93" t="s">
        <v>123</v>
      </c>
      <c r="E725" s="94">
        <f t="shared" si="48"/>
        <v>7955732.8200000003</v>
      </c>
      <c r="F725" s="95">
        <v>7955732.8200000003</v>
      </c>
      <c r="G725" s="87"/>
      <c r="H725" s="87"/>
      <c r="I725" s="87"/>
      <c r="J725" s="94"/>
      <c r="K725" s="87"/>
      <c r="L725" s="87"/>
      <c r="M725" s="87"/>
    </row>
    <row r="726" spans="1:13" ht="16.5" customHeight="1">
      <c r="A726" s="87">
        <v>25</v>
      </c>
      <c r="B726" s="96" t="s">
        <v>43</v>
      </c>
      <c r="C726" s="92">
        <v>4002215024731</v>
      </c>
      <c r="D726" s="93" t="s">
        <v>123</v>
      </c>
      <c r="E726" s="94">
        <f t="shared" si="48"/>
        <v>7955732.8200000003</v>
      </c>
      <c r="F726" s="95">
        <v>7955732.8200000003</v>
      </c>
      <c r="G726" s="87"/>
      <c r="H726" s="87"/>
      <c r="I726" s="87"/>
      <c r="J726" s="94"/>
      <c r="K726" s="87"/>
      <c r="L726" s="87"/>
      <c r="M726" s="87"/>
    </row>
    <row r="727" spans="1:13" ht="16.5" customHeight="1">
      <c r="A727" s="87">
        <v>26</v>
      </c>
      <c r="B727" s="96" t="s">
        <v>58</v>
      </c>
      <c r="C727" s="98">
        <v>4002205100941</v>
      </c>
      <c r="D727" s="93" t="s">
        <v>123</v>
      </c>
      <c r="E727" s="94">
        <f t="shared" si="48"/>
        <v>7102508</v>
      </c>
      <c r="F727" s="95">
        <v>7102508</v>
      </c>
      <c r="G727" s="87"/>
      <c r="H727" s="87"/>
      <c r="I727" s="87"/>
      <c r="J727" s="94"/>
      <c r="K727" s="87"/>
      <c r="L727" s="87"/>
      <c r="M727" s="87"/>
    </row>
    <row r="728" spans="1:13" ht="16.5" customHeight="1">
      <c r="A728" s="87">
        <v>27</v>
      </c>
      <c r="B728" s="96" t="s">
        <v>44</v>
      </c>
      <c r="C728" s="92">
        <v>4002205008330</v>
      </c>
      <c r="D728" s="93" t="s">
        <v>123</v>
      </c>
      <c r="E728" s="94">
        <f t="shared" si="48"/>
        <v>7902524.1749999998</v>
      </c>
      <c r="F728" s="95">
        <v>7902524.1749999998</v>
      </c>
      <c r="G728" s="97"/>
      <c r="H728" s="87"/>
      <c r="I728" s="87"/>
      <c r="J728" s="94"/>
      <c r="K728" s="87"/>
      <c r="L728" s="87"/>
      <c r="M728" s="87"/>
    </row>
    <row r="729" spans="1:13" ht="16.5" customHeight="1">
      <c r="A729" s="87">
        <v>28</v>
      </c>
      <c r="B729" s="87" t="s">
        <v>132</v>
      </c>
      <c r="C729" s="100">
        <v>4002215005323</v>
      </c>
      <c r="D729" s="93" t="s">
        <v>123</v>
      </c>
      <c r="E729" s="94">
        <f t="shared" si="48"/>
        <v>4814115.5</v>
      </c>
      <c r="F729" s="104">
        <v>4814115.5</v>
      </c>
      <c r="G729" s="87"/>
      <c r="H729" s="87"/>
      <c r="I729" s="87"/>
      <c r="J729" s="94"/>
      <c r="K729" s="87"/>
      <c r="L729" s="87"/>
      <c r="M729" s="120"/>
    </row>
    <row r="730" spans="1:13" ht="16.5" customHeight="1">
      <c r="A730" s="87">
        <v>29</v>
      </c>
      <c r="B730" s="99" t="s">
        <v>46</v>
      </c>
      <c r="C730" s="105">
        <v>4002215005510</v>
      </c>
      <c r="D730" s="93" t="s">
        <v>123</v>
      </c>
      <c r="E730" s="94">
        <f t="shared" si="48"/>
        <v>7868988</v>
      </c>
      <c r="F730" s="104">
        <v>7868988</v>
      </c>
      <c r="G730" s="87"/>
      <c r="H730" s="87"/>
      <c r="I730" s="87"/>
      <c r="J730" s="94"/>
      <c r="K730" s="87"/>
      <c r="L730" s="87"/>
      <c r="M730" s="87"/>
    </row>
    <row r="731" spans="1:13" ht="16.5" customHeight="1">
      <c r="A731" s="87">
        <v>30</v>
      </c>
      <c r="B731" s="96" t="s">
        <v>47</v>
      </c>
      <c r="C731" s="98">
        <v>4002215013889</v>
      </c>
      <c r="D731" s="93" t="s">
        <v>123</v>
      </c>
      <c r="E731" s="94">
        <f t="shared" si="48"/>
        <v>7955732.8200000003</v>
      </c>
      <c r="F731" s="104">
        <v>7955732.8200000003</v>
      </c>
      <c r="G731" s="87"/>
      <c r="H731" s="87"/>
      <c r="I731" s="87"/>
      <c r="J731" s="94"/>
      <c r="K731" s="87"/>
      <c r="L731" s="87"/>
      <c r="M731" s="93"/>
    </row>
    <row r="732" spans="1:13" ht="16.5" customHeight="1">
      <c r="A732" s="87">
        <v>31</v>
      </c>
      <c r="B732" s="96" t="s">
        <v>48</v>
      </c>
      <c r="C732" s="92">
        <v>4002215005346</v>
      </c>
      <c r="D732" s="93" t="s">
        <v>123</v>
      </c>
      <c r="E732" s="94">
        <f t="shared" si="48"/>
        <v>7849316</v>
      </c>
      <c r="F732" s="104">
        <v>7849316</v>
      </c>
      <c r="G732" s="87"/>
      <c r="H732" s="87"/>
      <c r="I732" s="87"/>
      <c r="J732" s="94"/>
      <c r="K732" s="87"/>
      <c r="L732" s="87"/>
      <c r="M732" s="87"/>
    </row>
    <row r="733" spans="1:13" ht="16.5" customHeight="1">
      <c r="A733" s="87">
        <v>32</v>
      </c>
      <c r="B733" s="96" t="s">
        <v>92</v>
      </c>
      <c r="C733" s="98">
        <v>4002215021438</v>
      </c>
      <c r="D733" s="93" t="s">
        <v>123</v>
      </c>
      <c r="E733" s="94">
        <f t="shared" si="48"/>
        <v>6373303.6500000004</v>
      </c>
      <c r="F733" s="104">
        <v>6373303.6500000004</v>
      </c>
      <c r="G733" s="87"/>
      <c r="H733" s="87"/>
      <c r="I733" s="87"/>
      <c r="J733" s="94"/>
      <c r="K733" s="87"/>
      <c r="L733" s="87"/>
      <c r="M733" s="87"/>
    </row>
    <row r="734" spans="1:13" ht="16.5" customHeight="1">
      <c r="A734" s="87">
        <v>33</v>
      </c>
      <c r="B734" s="96" t="s">
        <v>93</v>
      </c>
      <c r="C734" s="98">
        <v>4002205007265</v>
      </c>
      <c r="D734" s="93" t="s">
        <v>123</v>
      </c>
      <c r="E734" s="94">
        <f t="shared" si="48"/>
        <v>7102508</v>
      </c>
      <c r="F734" s="104">
        <v>7102508</v>
      </c>
      <c r="G734" s="87"/>
      <c r="H734" s="87"/>
      <c r="I734" s="87"/>
      <c r="J734" s="94"/>
      <c r="K734" s="87"/>
      <c r="L734" s="87"/>
      <c r="M734" s="87"/>
    </row>
    <row r="735" spans="1:13" ht="16.5" customHeight="1">
      <c r="A735" s="87">
        <v>34</v>
      </c>
      <c r="B735" s="96" t="s">
        <v>95</v>
      </c>
      <c r="C735" s="100">
        <v>4009205061263</v>
      </c>
      <c r="D735" s="106" t="s">
        <v>133</v>
      </c>
      <c r="E735" s="104">
        <f t="shared" si="48"/>
        <v>5341650</v>
      </c>
      <c r="F735" s="104">
        <v>5341650</v>
      </c>
      <c r="G735" s="87"/>
      <c r="H735" s="87"/>
      <c r="I735" s="87"/>
      <c r="J735" s="94"/>
      <c r="K735" s="87"/>
      <c r="L735" s="87"/>
      <c r="M735" s="87"/>
    </row>
    <row r="736" spans="1:13" ht="16.5" customHeight="1">
      <c r="A736" s="87">
        <v>35</v>
      </c>
      <c r="B736" s="96" t="s">
        <v>49</v>
      </c>
      <c r="C736" s="100">
        <v>4002215005330</v>
      </c>
      <c r="D736" s="93" t="s">
        <v>123</v>
      </c>
      <c r="E736" s="94">
        <f t="shared" si="48"/>
        <v>4752057</v>
      </c>
      <c r="F736" s="104">
        <v>4752057</v>
      </c>
      <c r="G736" s="87"/>
      <c r="H736" s="87"/>
      <c r="I736" s="87"/>
      <c r="J736" s="94"/>
      <c r="K736" s="87"/>
      <c r="L736" s="87"/>
      <c r="M736" s="87"/>
    </row>
    <row r="737" spans="1:13" ht="16.5" customHeight="1">
      <c r="A737" s="87">
        <v>36</v>
      </c>
      <c r="B737" s="96" t="s">
        <v>50</v>
      </c>
      <c r="C737" s="100">
        <v>4002215013758</v>
      </c>
      <c r="D737" s="93" t="s">
        <v>123</v>
      </c>
      <c r="E737" s="94">
        <f t="shared" si="48"/>
        <v>4111953</v>
      </c>
      <c r="F737" s="104">
        <v>4111953</v>
      </c>
      <c r="G737" s="87"/>
      <c r="H737" s="87"/>
      <c r="I737" s="87"/>
      <c r="J737" s="94"/>
      <c r="K737" s="87"/>
      <c r="L737" s="87"/>
      <c r="M737" s="87"/>
    </row>
    <row r="738" spans="1:13" ht="16.5" customHeight="1">
      <c r="A738" s="90" t="s">
        <v>134</v>
      </c>
      <c r="B738" s="88" t="s">
        <v>135</v>
      </c>
      <c r="C738" s="107"/>
      <c r="D738" s="103"/>
      <c r="E738" s="89">
        <f>E739</f>
        <v>3723200</v>
      </c>
      <c r="F738" s="89"/>
      <c r="G738" s="89">
        <f>G739</f>
        <v>3723200</v>
      </c>
      <c r="H738" s="87"/>
      <c r="I738" s="87"/>
      <c r="J738" s="89"/>
      <c r="K738" s="87"/>
      <c r="L738" s="87"/>
      <c r="M738" s="87"/>
    </row>
    <row r="739" spans="1:13" ht="16.5" customHeight="1">
      <c r="A739" s="87">
        <v>1</v>
      </c>
      <c r="B739" s="96" t="s">
        <v>51</v>
      </c>
      <c r="C739" s="100">
        <v>4002205034012</v>
      </c>
      <c r="D739" s="93" t="s">
        <v>123</v>
      </c>
      <c r="E739" s="108">
        <f>F739+G739+J739</f>
        <v>3723200</v>
      </c>
      <c r="F739" s="104"/>
      <c r="G739" s="104">
        <f>3508400+214800</f>
        <v>3723200</v>
      </c>
      <c r="H739" s="87"/>
      <c r="I739" s="87"/>
      <c r="J739" s="94"/>
      <c r="K739" s="87"/>
      <c r="L739" s="87"/>
      <c r="M739" s="87"/>
    </row>
    <row r="740" spans="1:13" ht="16.5" customHeight="1">
      <c r="A740" s="88" t="s">
        <v>136</v>
      </c>
      <c r="B740" s="109" t="s">
        <v>137</v>
      </c>
      <c r="C740" s="110"/>
      <c r="D740" s="87"/>
      <c r="E740" s="88">
        <v>0</v>
      </c>
      <c r="F740" s="88">
        <v>0</v>
      </c>
      <c r="G740" s="87"/>
      <c r="H740" s="87"/>
      <c r="I740" s="87"/>
      <c r="J740" s="94"/>
      <c r="K740" s="87"/>
      <c r="L740" s="87"/>
      <c r="M740" s="87"/>
    </row>
    <row r="741" spans="1:13" ht="16.5" customHeight="1">
      <c r="A741" s="1" t="s">
        <v>100</v>
      </c>
      <c r="C741" s="179" t="s">
        <v>343</v>
      </c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</row>
    <row r="742" spans="1:13" ht="16.5" customHeight="1">
      <c r="A742" s="111" t="s">
        <v>138</v>
      </c>
      <c r="B742" s="111"/>
      <c r="C742" s="111"/>
      <c r="D742" s="111"/>
      <c r="E742" s="111"/>
      <c r="F742" s="111"/>
      <c r="G742" s="239"/>
      <c r="H742" s="239"/>
      <c r="I742" s="239"/>
      <c r="J742" s="239"/>
      <c r="K742" s="239"/>
      <c r="L742" s="239"/>
      <c r="M742" s="239"/>
    </row>
    <row r="743" spans="1:13" ht="16.5" customHeight="1">
      <c r="A743" s="112" t="s">
        <v>312</v>
      </c>
      <c r="B743" s="112"/>
      <c r="C743" s="113">
        <f>C641</f>
        <v>310582194.78090012</v>
      </c>
      <c r="D743" s="154" t="s">
        <v>313</v>
      </c>
      <c r="E743" s="154"/>
      <c r="F743" s="154"/>
      <c r="G743" s="244"/>
      <c r="H743" s="244"/>
      <c r="I743" s="244"/>
      <c r="J743" s="244"/>
      <c r="K743" s="244"/>
      <c r="L743" s="244"/>
      <c r="M743" s="244"/>
    </row>
    <row r="744" spans="1:13" ht="16.5" customHeight="1">
      <c r="A744" s="242" t="s">
        <v>139</v>
      </c>
      <c r="B744" s="242"/>
      <c r="C744" s="8">
        <v>214800</v>
      </c>
      <c r="D744" s="243" t="s">
        <v>341</v>
      </c>
      <c r="E744" s="243"/>
      <c r="F744" s="243"/>
      <c r="G744" s="244"/>
      <c r="H744" s="244"/>
      <c r="I744" s="244"/>
      <c r="J744" s="244"/>
      <c r="K744" s="244"/>
      <c r="L744" s="244"/>
      <c r="M744" s="244"/>
    </row>
    <row r="745" spans="1:13" ht="14.25" customHeight="1">
      <c r="A745" s="242" t="s">
        <v>141</v>
      </c>
      <c r="B745" s="242"/>
      <c r="C745" s="8">
        <v>0</v>
      </c>
      <c r="D745" s="243"/>
      <c r="E745" s="243"/>
      <c r="F745" s="243"/>
      <c r="G745" s="244"/>
      <c r="H745" s="244"/>
      <c r="I745" s="244"/>
      <c r="J745" s="244"/>
      <c r="K745" s="244"/>
      <c r="L745" s="244"/>
      <c r="M745" s="244"/>
    </row>
    <row r="746" spans="1:13" ht="16.5" customHeight="1">
      <c r="A746" s="112" t="s">
        <v>337</v>
      </c>
      <c r="B746" s="112"/>
      <c r="C746" s="119">
        <f>C743+C744-C745</f>
        <v>310796994.78090012</v>
      </c>
      <c r="D746" s="154" t="s">
        <v>338</v>
      </c>
      <c r="E746" s="154"/>
      <c r="F746" s="154"/>
      <c r="G746" s="244"/>
      <c r="H746" s="244"/>
      <c r="I746" s="244"/>
      <c r="J746" s="244"/>
      <c r="K746" s="244"/>
      <c r="L746" s="244"/>
      <c r="M746" s="244"/>
    </row>
    <row r="747" spans="1:13" ht="16.5" customHeight="1">
      <c r="A747" s="186"/>
      <c r="B747" s="186"/>
      <c r="C747" s="186"/>
      <c r="D747" s="186"/>
      <c r="E747" s="115"/>
      <c r="F747" s="82"/>
      <c r="G747" s="82"/>
      <c r="H747" s="241" t="s">
        <v>339</v>
      </c>
      <c r="I747" s="241"/>
      <c r="J747" s="241"/>
      <c r="K747" s="241"/>
      <c r="L747" s="241"/>
      <c r="M747" s="241"/>
    </row>
    <row r="748" spans="1:13" ht="16.5" customHeight="1">
      <c r="A748" s="82"/>
      <c r="B748" s="82"/>
      <c r="C748" s="239" t="s">
        <v>142</v>
      </c>
      <c r="D748" s="239"/>
      <c r="E748" s="239" t="s">
        <v>79</v>
      </c>
      <c r="F748" s="239"/>
      <c r="G748" s="239"/>
      <c r="H748" s="239" t="s">
        <v>143</v>
      </c>
      <c r="I748" s="239"/>
      <c r="J748" s="239"/>
      <c r="K748" s="239"/>
      <c r="L748" s="239"/>
      <c r="M748" s="239"/>
    </row>
    <row r="749" spans="1:13" ht="16.5" customHeight="1">
      <c r="A749" s="82"/>
      <c r="B749" s="82"/>
      <c r="C749" s="242" t="s">
        <v>144</v>
      </c>
      <c r="D749" s="242"/>
      <c r="E749" s="242" t="s">
        <v>145</v>
      </c>
      <c r="F749" s="242"/>
      <c r="G749" s="242"/>
      <c r="H749" s="242" t="s">
        <v>146</v>
      </c>
      <c r="I749" s="242"/>
      <c r="J749" s="242"/>
      <c r="K749" s="242"/>
      <c r="L749" s="242"/>
      <c r="M749" s="242"/>
    </row>
    <row r="750" spans="1:13" ht="16.5" customHeight="1">
      <c r="A750" s="82"/>
      <c r="B750" s="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</row>
    <row r="751" spans="1:13" ht="16.5" customHeight="1">
      <c r="A751" s="82"/>
      <c r="B751" s="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</row>
    <row r="752" spans="1:13" ht="16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</row>
    <row r="753" spans="1:13" ht="15.75">
      <c r="A753" s="82"/>
      <c r="B753" s="82"/>
      <c r="C753" s="239" t="s">
        <v>59</v>
      </c>
      <c r="D753" s="239"/>
      <c r="E753" s="239" t="s">
        <v>59</v>
      </c>
      <c r="F753" s="239"/>
      <c r="G753" s="239"/>
      <c r="H753" s="239" t="s">
        <v>60</v>
      </c>
      <c r="I753" s="239"/>
      <c r="J753" s="239"/>
      <c r="K753" s="239"/>
      <c r="L753" s="239"/>
      <c r="M753" s="239"/>
    </row>
    <row r="754" spans="1:13">
      <c r="A754" s="240" t="s">
        <v>147</v>
      </c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</row>
    <row r="755" spans="1:13">
      <c r="A755" s="82"/>
      <c r="B755" s="82"/>
      <c r="C755" s="82"/>
      <c r="D755" s="82"/>
      <c r="E755" s="82"/>
      <c r="F755" s="82"/>
      <c r="G755" s="241" t="s">
        <v>157</v>
      </c>
      <c r="H755" s="241"/>
      <c r="I755" s="241"/>
      <c r="J755" s="241"/>
      <c r="K755" s="241"/>
      <c r="L755" s="241"/>
      <c r="M755" s="241"/>
    </row>
    <row r="756" spans="1:13" ht="15.75">
      <c r="A756" s="82"/>
      <c r="B756" s="240" t="s">
        <v>148</v>
      </c>
      <c r="C756" s="240"/>
      <c r="D756" s="240"/>
      <c r="E756" s="240"/>
      <c r="F756" s="240"/>
      <c r="G756" s="239" t="s">
        <v>149</v>
      </c>
      <c r="H756" s="239"/>
      <c r="I756" s="239"/>
      <c r="J756" s="239"/>
      <c r="K756" s="239"/>
      <c r="L756" s="239"/>
      <c r="M756" s="239"/>
    </row>
    <row r="757" spans="1:13" ht="15.75">
      <c r="A757" s="82"/>
      <c r="B757" s="184"/>
      <c r="C757" s="184"/>
      <c r="D757" s="184"/>
      <c r="E757" s="184"/>
      <c r="F757" s="184"/>
      <c r="G757" s="183"/>
      <c r="H757" s="183"/>
      <c r="I757" s="183"/>
      <c r="J757" s="183"/>
      <c r="K757" s="183"/>
      <c r="L757" s="183"/>
      <c r="M757" s="183"/>
    </row>
    <row r="758" spans="1:13">
      <c r="A758" s="82"/>
      <c r="B758" s="82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</row>
    <row r="759" spans="1:13" ht="18.75">
      <c r="A759" s="253" t="s">
        <v>102</v>
      </c>
      <c r="B759" s="253"/>
      <c r="C759" s="253"/>
      <c r="D759" s="253"/>
      <c r="E759" s="253"/>
      <c r="F759" s="253"/>
      <c r="G759" s="253"/>
      <c r="H759" s="253"/>
      <c r="I759" s="253"/>
      <c r="J759" s="253"/>
      <c r="K759" s="242" t="s">
        <v>103</v>
      </c>
      <c r="L759" s="242"/>
      <c r="M759" s="81"/>
    </row>
    <row r="760" spans="1:13" ht="18.75">
      <c r="A760" s="254" t="s">
        <v>335</v>
      </c>
      <c r="B760" s="254"/>
      <c r="C760" s="254"/>
      <c r="D760" s="254"/>
      <c r="E760" s="254"/>
      <c r="F760" s="254"/>
      <c r="G760" s="254"/>
      <c r="H760" s="254"/>
      <c r="I760" s="254"/>
      <c r="J760" s="254"/>
      <c r="K760" s="255" t="s">
        <v>215</v>
      </c>
      <c r="L760" s="255"/>
      <c r="M760" s="82"/>
    </row>
    <row r="761" spans="1:13" ht="18.75">
      <c r="A761" s="192"/>
      <c r="B761" s="192"/>
      <c r="C761" s="254" t="s">
        <v>104</v>
      </c>
      <c r="D761" s="254"/>
      <c r="E761" s="254"/>
      <c r="F761" s="254"/>
      <c r="G761" s="254"/>
      <c r="H761" s="254"/>
      <c r="I761" s="254"/>
      <c r="J761" s="192"/>
      <c r="K761" s="192"/>
      <c r="L761" s="192"/>
      <c r="M761" s="82"/>
    </row>
    <row r="762" spans="1:13" ht="16.5">
      <c r="A762" s="256" t="s">
        <v>105</v>
      </c>
      <c r="B762" s="256"/>
      <c r="C762" s="256"/>
      <c r="D762" s="256"/>
      <c r="E762" s="256"/>
      <c r="F762" s="256"/>
      <c r="G762" s="256"/>
      <c r="H762" s="256"/>
      <c r="I762" s="256"/>
      <c r="J762" s="256"/>
      <c r="K762" s="256"/>
      <c r="L762" s="256"/>
      <c r="M762" s="82"/>
    </row>
    <row r="763" spans="1:13" ht="16.5">
      <c r="A763" s="256" t="s">
        <v>106</v>
      </c>
      <c r="B763" s="256"/>
      <c r="C763" s="256"/>
      <c r="D763" s="256"/>
      <c r="E763" s="256"/>
      <c r="F763" s="256"/>
      <c r="G763" s="256"/>
      <c r="H763" s="256"/>
      <c r="I763" s="256"/>
      <c r="J763" s="256"/>
      <c r="K763" s="256"/>
      <c r="L763" s="256"/>
      <c r="M763" s="82"/>
    </row>
    <row r="764" spans="1:13" ht="16.5">
      <c r="A764" s="256" t="s">
        <v>107</v>
      </c>
      <c r="B764" s="256"/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82"/>
    </row>
    <row r="765" spans="1:13" ht="18" customHeight="1">
      <c r="A765" s="257" t="s">
        <v>345</v>
      </c>
      <c r="B765" s="257"/>
      <c r="C765" s="257"/>
      <c r="D765" s="257"/>
      <c r="E765" s="257"/>
      <c r="F765" s="257"/>
      <c r="G765" s="257"/>
      <c r="H765" s="257"/>
      <c r="I765" s="257"/>
      <c r="J765" s="257"/>
      <c r="K765" s="257"/>
      <c r="L765" s="257"/>
      <c r="M765" s="82"/>
    </row>
    <row r="766" spans="1:13">
      <c r="A766" s="245" t="s">
        <v>0</v>
      </c>
      <c r="B766" s="247" t="s">
        <v>108</v>
      </c>
      <c r="C766" s="249" t="s">
        <v>109</v>
      </c>
      <c r="D766" s="249"/>
      <c r="E766" s="247" t="s">
        <v>110</v>
      </c>
      <c r="F766" s="250" t="s">
        <v>111</v>
      </c>
      <c r="G766" s="251"/>
      <c r="H766" s="251"/>
      <c r="I766" s="251"/>
      <c r="J766" s="251"/>
      <c r="K766" s="251"/>
      <c r="L766" s="252"/>
      <c r="M766" s="247" t="s">
        <v>57</v>
      </c>
    </row>
    <row r="767" spans="1:13" ht="42">
      <c r="A767" s="246"/>
      <c r="B767" s="248"/>
      <c r="C767" s="84" t="s">
        <v>112</v>
      </c>
      <c r="D767" s="84" t="s">
        <v>113</v>
      </c>
      <c r="E767" s="248"/>
      <c r="F767" s="84" t="s">
        <v>114</v>
      </c>
      <c r="G767" s="85" t="s">
        <v>115</v>
      </c>
      <c r="H767" s="85" t="s">
        <v>116</v>
      </c>
      <c r="I767" s="84" t="s">
        <v>117</v>
      </c>
      <c r="J767" s="84" t="s">
        <v>118</v>
      </c>
      <c r="K767" s="84" t="s">
        <v>119</v>
      </c>
      <c r="L767" s="84" t="s">
        <v>120</v>
      </c>
      <c r="M767" s="248"/>
    </row>
    <row r="768" spans="1:13">
      <c r="A768" s="86">
        <v>1</v>
      </c>
      <c r="B768" s="86">
        <v>2</v>
      </c>
      <c r="C768" s="86">
        <v>3</v>
      </c>
      <c r="D768" s="86"/>
      <c r="E768" s="86">
        <v>4</v>
      </c>
      <c r="F768" s="86">
        <v>5</v>
      </c>
      <c r="G768" s="86">
        <v>6</v>
      </c>
      <c r="H768" s="86">
        <v>7</v>
      </c>
      <c r="I768" s="86">
        <v>8</v>
      </c>
      <c r="J768" s="86">
        <v>9</v>
      </c>
      <c r="K768" s="86">
        <v>10</v>
      </c>
      <c r="L768" s="86">
        <v>11</v>
      </c>
      <c r="M768" s="86">
        <v>12</v>
      </c>
    </row>
    <row r="769" spans="1:16">
      <c r="A769" s="87"/>
      <c r="B769" s="88" t="s">
        <v>110</v>
      </c>
      <c r="C769" s="87"/>
      <c r="D769" s="87"/>
      <c r="E769" s="89">
        <f>E770+E807+E809</f>
        <v>1480000</v>
      </c>
      <c r="F769" s="89">
        <f>F770+F807+F809</f>
        <v>0</v>
      </c>
      <c r="G769" s="89">
        <f t="shared" ref="G769:J769" si="49">G770+G807+G809</f>
        <v>0</v>
      </c>
      <c r="H769" s="89">
        <f t="shared" si="49"/>
        <v>0</v>
      </c>
      <c r="I769" s="89">
        <f t="shared" si="49"/>
        <v>0</v>
      </c>
      <c r="J769" s="89">
        <f t="shared" si="49"/>
        <v>1480000</v>
      </c>
      <c r="K769" s="87"/>
      <c r="L769" s="87"/>
      <c r="M769" s="87"/>
    </row>
    <row r="770" spans="1:16">
      <c r="A770" s="90" t="s">
        <v>121</v>
      </c>
      <c r="B770" s="88" t="s">
        <v>122</v>
      </c>
      <c r="C770" s="87"/>
      <c r="D770" s="87"/>
      <c r="E770" s="89">
        <f>SUM(E771:E806)</f>
        <v>1440000</v>
      </c>
      <c r="F770" s="89">
        <f>SUM(F771:F806)</f>
        <v>0</v>
      </c>
      <c r="G770" s="89">
        <f t="shared" ref="G770:I770" si="50">SUM(G771:G806)</f>
        <v>0</v>
      </c>
      <c r="H770" s="89">
        <f t="shared" si="50"/>
        <v>0</v>
      </c>
      <c r="I770" s="89">
        <f t="shared" si="50"/>
        <v>0</v>
      </c>
      <c r="J770" s="89">
        <f>SUM(J771:J806)</f>
        <v>1440000</v>
      </c>
      <c r="K770" s="87"/>
      <c r="L770" s="87"/>
      <c r="M770" s="87"/>
    </row>
    <row r="771" spans="1:16" ht="15.75">
      <c r="A771" s="87">
        <v>1</v>
      </c>
      <c r="B771" s="91" t="s">
        <v>60</v>
      </c>
      <c r="C771" s="92">
        <v>4002205008058</v>
      </c>
      <c r="D771" s="93" t="s">
        <v>123</v>
      </c>
      <c r="E771" s="94">
        <f>SUM(F771:L771)</f>
        <v>40000</v>
      </c>
      <c r="F771" s="95"/>
      <c r="G771" s="87"/>
      <c r="H771" s="87"/>
      <c r="I771" s="87"/>
      <c r="J771" s="94">
        <v>40000</v>
      </c>
      <c r="K771" s="87"/>
      <c r="L771" s="87"/>
      <c r="M771" s="87"/>
    </row>
    <row r="772" spans="1:16" ht="15.75">
      <c r="A772" s="87">
        <v>2</v>
      </c>
      <c r="B772" s="96" t="s">
        <v>28</v>
      </c>
      <c r="C772" s="92">
        <v>4002215013939</v>
      </c>
      <c r="D772" s="93" t="s">
        <v>123</v>
      </c>
      <c r="E772" s="94">
        <f t="shared" ref="E772:E781" si="51">SUM(F772:L772)</f>
        <v>40000</v>
      </c>
      <c r="F772" s="95"/>
      <c r="G772" s="87"/>
      <c r="H772" s="87"/>
      <c r="I772" s="87"/>
      <c r="J772" s="94">
        <v>40000</v>
      </c>
      <c r="K772" s="87"/>
      <c r="L772" s="87"/>
      <c r="M772" s="87"/>
    </row>
    <row r="773" spans="1:16" ht="15.75">
      <c r="A773" s="87">
        <v>3</v>
      </c>
      <c r="B773" s="96" t="s">
        <v>30</v>
      </c>
      <c r="C773" s="92">
        <v>4002205008353</v>
      </c>
      <c r="D773" s="93" t="s">
        <v>123</v>
      </c>
      <c r="E773" s="94">
        <f t="shared" si="51"/>
        <v>40000</v>
      </c>
      <c r="F773" s="95"/>
      <c r="G773" s="87"/>
      <c r="H773" s="87"/>
      <c r="I773" s="87"/>
      <c r="J773" s="94">
        <v>40000</v>
      </c>
      <c r="K773" s="87"/>
      <c r="L773" s="87"/>
      <c r="M773" s="93"/>
      <c r="P773" s="193">
        <f>J771*37+1192000</f>
        <v>2672000</v>
      </c>
    </row>
    <row r="774" spans="1:16" ht="15.75">
      <c r="A774" s="87">
        <v>4</v>
      </c>
      <c r="B774" s="96" t="s">
        <v>32</v>
      </c>
      <c r="C774" s="92">
        <v>4002205007706</v>
      </c>
      <c r="D774" s="93" t="s">
        <v>123</v>
      </c>
      <c r="E774" s="94">
        <f t="shared" si="51"/>
        <v>40000</v>
      </c>
      <c r="F774" s="95"/>
      <c r="G774" s="97"/>
      <c r="H774" s="87"/>
      <c r="I774" s="87"/>
      <c r="J774" s="94">
        <v>40000</v>
      </c>
      <c r="K774" s="87"/>
      <c r="L774" s="87"/>
      <c r="M774" s="87"/>
      <c r="P774" t="s">
        <v>348</v>
      </c>
    </row>
    <row r="775" spans="1:16" ht="15.75">
      <c r="A775" s="87">
        <v>5</v>
      </c>
      <c r="B775" s="96" t="s">
        <v>124</v>
      </c>
      <c r="C775" s="92">
        <v>4002205007577</v>
      </c>
      <c r="D775" s="93" t="s">
        <v>123</v>
      </c>
      <c r="E775" s="94">
        <f t="shared" si="51"/>
        <v>40000</v>
      </c>
      <c r="F775" s="95"/>
      <c r="G775" s="87"/>
      <c r="H775" s="87"/>
      <c r="I775" s="87"/>
      <c r="J775" s="94">
        <v>40000</v>
      </c>
      <c r="K775" s="87"/>
      <c r="L775" s="87"/>
      <c r="M775" s="87"/>
    </row>
    <row r="776" spans="1:16" ht="15.75">
      <c r="A776" s="87">
        <v>6</v>
      </c>
      <c r="B776" s="96" t="s">
        <v>84</v>
      </c>
      <c r="C776" s="92">
        <v>4002205099727</v>
      </c>
      <c r="D776" s="93" t="s">
        <v>123</v>
      </c>
      <c r="E776" s="94">
        <f t="shared" si="51"/>
        <v>40000</v>
      </c>
      <c r="F776" s="95"/>
      <c r="G776" s="87"/>
      <c r="H776" s="87"/>
      <c r="I776" s="87"/>
      <c r="J776" s="94">
        <v>40000</v>
      </c>
      <c r="K776" s="87"/>
      <c r="L776" s="87"/>
      <c r="M776" s="93"/>
    </row>
    <row r="777" spans="1:16" ht="15.75">
      <c r="A777" s="87">
        <v>7</v>
      </c>
      <c r="B777" s="96" t="s">
        <v>31</v>
      </c>
      <c r="C777" s="98">
        <v>4002215005454</v>
      </c>
      <c r="D777" s="93" t="s">
        <v>123</v>
      </c>
      <c r="E777" s="94">
        <f t="shared" si="51"/>
        <v>40000</v>
      </c>
      <c r="F777" s="95"/>
      <c r="G777" s="87"/>
      <c r="H777" s="87"/>
      <c r="I777" s="87"/>
      <c r="J777" s="94">
        <v>40000</v>
      </c>
      <c r="K777" s="87"/>
      <c r="L777" s="87"/>
      <c r="M777" s="87"/>
    </row>
    <row r="778" spans="1:16" ht="15.75">
      <c r="A778" s="87">
        <v>8</v>
      </c>
      <c r="B778" s="96" t="s">
        <v>125</v>
      </c>
      <c r="C778" s="92">
        <v>4002215005369</v>
      </c>
      <c r="D778" s="93" t="s">
        <v>123</v>
      </c>
      <c r="E778" s="94">
        <f t="shared" si="51"/>
        <v>40000</v>
      </c>
      <c r="F778" s="95"/>
      <c r="G778" s="87"/>
      <c r="H778" s="87"/>
      <c r="I778" s="87"/>
      <c r="J778" s="94">
        <v>40000</v>
      </c>
      <c r="K778" s="87"/>
      <c r="L778" s="87"/>
      <c r="M778" s="93"/>
    </row>
    <row r="779" spans="1:16" ht="15.75">
      <c r="A779" s="87">
        <v>9</v>
      </c>
      <c r="B779" s="96" t="s">
        <v>33</v>
      </c>
      <c r="C779" s="98">
        <v>4002215013980</v>
      </c>
      <c r="D779" s="93" t="s">
        <v>123</v>
      </c>
      <c r="E779" s="94">
        <f t="shared" si="51"/>
        <v>40000</v>
      </c>
      <c r="F779" s="95"/>
      <c r="G779" s="97"/>
      <c r="H779" s="87"/>
      <c r="I779" s="87"/>
      <c r="J779" s="94">
        <v>40000</v>
      </c>
      <c r="K779" s="87"/>
      <c r="L779" s="87"/>
      <c r="M779" s="93"/>
    </row>
    <row r="780" spans="1:16" ht="15.75">
      <c r="A780" s="87">
        <v>10</v>
      </c>
      <c r="B780" s="96" t="s">
        <v>34</v>
      </c>
      <c r="C780" s="92">
        <v>4002215014006</v>
      </c>
      <c r="D780" s="93" t="s">
        <v>123</v>
      </c>
      <c r="E780" s="94">
        <f t="shared" si="51"/>
        <v>40000</v>
      </c>
      <c r="F780" s="95"/>
      <c r="G780" s="87"/>
      <c r="H780" s="87"/>
      <c r="I780" s="87"/>
      <c r="J780" s="94">
        <v>40000</v>
      </c>
      <c r="K780" s="87"/>
      <c r="L780" s="87"/>
      <c r="M780" s="93"/>
    </row>
    <row r="781" spans="1:16" ht="15.75">
      <c r="A781" s="87">
        <v>11</v>
      </c>
      <c r="B781" s="99" t="s">
        <v>36</v>
      </c>
      <c r="C781" s="98">
        <v>4002215020718</v>
      </c>
      <c r="D781" s="93" t="s">
        <v>123</v>
      </c>
      <c r="E781" s="94">
        <f t="shared" si="51"/>
        <v>40000</v>
      </c>
      <c r="F781" s="95"/>
      <c r="G781" s="87"/>
      <c r="H781" s="87"/>
      <c r="I781" s="87"/>
      <c r="J781" s="94">
        <v>40000</v>
      </c>
      <c r="K781" s="87"/>
      <c r="L781" s="87"/>
      <c r="M781" s="87"/>
    </row>
    <row r="782" spans="1:16" ht="15.75">
      <c r="A782" s="87">
        <v>12</v>
      </c>
      <c r="B782" s="96" t="s">
        <v>59</v>
      </c>
      <c r="C782" s="92">
        <v>4002215018587</v>
      </c>
      <c r="D782" s="93" t="s">
        <v>123</v>
      </c>
      <c r="E782" s="94">
        <f>SUM(F782:L782)</f>
        <v>40000</v>
      </c>
      <c r="F782" s="95"/>
      <c r="G782" s="97"/>
      <c r="H782" s="87"/>
      <c r="I782" s="87"/>
      <c r="J782" s="94">
        <v>40000</v>
      </c>
      <c r="K782" s="87"/>
      <c r="L782" s="87"/>
      <c r="M782" s="87"/>
    </row>
    <row r="783" spans="1:16" ht="15.75">
      <c r="A783" s="87">
        <v>13</v>
      </c>
      <c r="B783" s="96" t="s">
        <v>126</v>
      </c>
      <c r="C783" s="98">
        <v>4002215013945</v>
      </c>
      <c r="D783" s="93" t="s">
        <v>123</v>
      </c>
      <c r="E783" s="94">
        <f t="shared" ref="E783:E787" si="52">SUM(F783:L783)</f>
        <v>40000</v>
      </c>
      <c r="F783" s="95"/>
      <c r="G783" s="87"/>
      <c r="H783" s="87"/>
      <c r="I783" s="87"/>
      <c r="J783" s="94">
        <v>40000</v>
      </c>
      <c r="K783" s="87"/>
      <c r="L783" s="87"/>
      <c r="M783" s="87"/>
    </row>
    <row r="784" spans="1:16" ht="15.75">
      <c r="A784" s="87">
        <v>14</v>
      </c>
      <c r="B784" s="96" t="s">
        <v>37</v>
      </c>
      <c r="C784" s="98">
        <v>4002205015211</v>
      </c>
      <c r="D784" s="93" t="s">
        <v>123</v>
      </c>
      <c r="E784" s="94">
        <f t="shared" si="52"/>
        <v>40000</v>
      </c>
      <c r="F784" s="95"/>
      <c r="G784" s="87"/>
      <c r="H784" s="87"/>
      <c r="I784" s="87"/>
      <c r="J784" s="94">
        <v>40000</v>
      </c>
      <c r="K784" s="87"/>
      <c r="L784" s="87"/>
      <c r="M784" s="87"/>
    </row>
    <row r="785" spans="1:13" ht="15.75">
      <c r="A785" s="87">
        <v>15</v>
      </c>
      <c r="B785" s="96" t="s">
        <v>127</v>
      </c>
      <c r="C785" s="92">
        <v>4002215013793</v>
      </c>
      <c r="D785" s="93" t="s">
        <v>123</v>
      </c>
      <c r="E785" s="94">
        <f t="shared" si="52"/>
        <v>40000</v>
      </c>
      <c r="F785" s="95"/>
      <c r="G785" s="87"/>
      <c r="H785" s="87"/>
      <c r="I785" s="87"/>
      <c r="J785" s="94">
        <v>40000</v>
      </c>
      <c r="K785" s="87"/>
      <c r="L785" s="87"/>
      <c r="M785" s="87"/>
    </row>
    <row r="786" spans="1:13" ht="15.75">
      <c r="A786" s="87">
        <v>16</v>
      </c>
      <c r="B786" s="96" t="s">
        <v>38</v>
      </c>
      <c r="C786" s="98">
        <v>4002215013895</v>
      </c>
      <c r="D786" s="93" t="s">
        <v>123</v>
      </c>
      <c r="E786" s="94">
        <f t="shared" si="52"/>
        <v>40000</v>
      </c>
      <c r="F786" s="95"/>
      <c r="G786" s="87"/>
      <c r="H786" s="87"/>
      <c r="I786" s="87"/>
      <c r="J786" s="94">
        <v>40000</v>
      </c>
      <c r="K786" s="87"/>
      <c r="L786" s="87"/>
      <c r="M786" s="87"/>
    </row>
    <row r="787" spans="1:13" ht="15.75">
      <c r="A787" s="87">
        <v>17</v>
      </c>
      <c r="B787" s="96" t="s">
        <v>128</v>
      </c>
      <c r="C787" s="98">
        <v>4002215005483</v>
      </c>
      <c r="D787" s="93" t="s">
        <v>123</v>
      </c>
      <c r="E787" s="94">
        <f t="shared" si="52"/>
        <v>40000</v>
      </c>
      <c r="F787" s="95"/>
      <c r="G787" s="87"/>
      <c r="H787" s="87"/>
      <c r="I787" s="87"/>
      <c r="J787" s="94">
        <v>40000</v>
      </c>
      <c r="K787" s="87"/>
      <c r="L787" s="87"/>
      <c r="M787" s="87"/>
    </row>
    <row r="788" spans="1:13" ht="15.75">
      <c r="A788" s="87">
        <v>18</v>
      </c>
      <c r="B788" s="96" t="s">
        <v>91</v>
      </c>
      <c r="C788" s="100">
        <v>4001205046288</v>
      </c>
      <c r="D788" s="93" t="s">
        <v>129</v>
      </c>
      <c r="E788" s="94">
        <f>SUM(F788:L788)</f>
        <v>40000</v>
      </c>
      <c r="F788" s="101"/>
      <c r="G788" s="87"/>
      <c r="H788" s="87"/>
      <c r="I788" s="87"/>
      <c r="J788" s="94">
        <v>40000</v>
      </c>
      <c r="K788" s="87"/>
      <c r="L788" s="87"/>
      <c r="M788" s="87"/>
    </row>
    <row r="789" spans="1:13" ht="15.75">
      <c r="A789" s="87">
        <v>19</v>
      </c>
      <c r="B789" s="99" t="s">
        <v>39</v>
      </c>
      <c r="C789" s="98">
        <v>4002205007627</v>
      </c>
      <c r="D789" s="93" t="s">
        <v>123</v>
      </c>
      <c r="E789" s="94">
        <f t="shared" ref="E789:E806" si="53">SUM(F789:L789)</f>
        <v>40000</v>
      </c>
      <c r="F789" s="95"/>
      <c r="G789" s="87"/>
      <c r="H789" s="87"/>
      <c r="I789" s="87"/>
      <c r="J789" s="94">
        <v>40000</v>
      </c>
      <c r="K789" s="87"/>
      <c r="L789" s="87"/>
      <c r="M789" s="93"/>
    </row>
    <row r="790" spans="1:13" ht="15.75">
      <c r="A790" s="87">
        <v>20</v>
      </c>
      <c r="B790" s="96" t="s">
        <v>40</v>
      </c>
      <c r="C790" s="98">
        <v>4002205008006</v>
      </c>
      <c r="D790" s="93" t="s">
        <v>123</v>
      </c>
      <c r="E790" s="94">
        <f t="shared" si="53"/>
        <v>40000</v>
      </c>
      <c r="F790" s="95"/>
      <c r="G790" s="87"/>
      <c r="H790" s="87"/>
      <c r="I790" s="87"/>
      <c r="J790" s="94">
        <v>40000</v>
      </c>
      <c r="K790" s="87"/>
      <c r="L790" s="87"/>
      <c r="M790" s="87"/>
    </row>
    <row r="791" spans="1:13" ht="15.75">
      <c r="A791" s="87">
        <v>21</v>
      </c>
      <c r="B791" s="96" t="s">
        <v>130</v>
      </c>
      <c r="C791" s="102">
        <v>4002215013808</v>
      </c>
      <c r="D791" s="93" t="s">
        <v>123</v>
      </c>
      <c r="E791" s="94">
        <f t="shared" si="53"/>
        <v>40000</v>
      </c>
      <c r="F791" s="95"/>
      <c r="G791" s="87"/>
      <c r="H791" s="87"/>
      <c r="I791" s="87"/>
      <c r="J791" s="94">
        <v>40000</v>
      </c>
      <c r="K791" s="87"/>
      <c r="L791" s="87"/>
      <c r="M791" s="87"/>
    </row>
    <row r="792" spans="1:13" ht="15.75">
      <c r="A792" s="87">
        <v>22</v>
      </c>
      <c r="B792" s="99" t="s">
        <v>41</v>
      </c>
      <c r="C792" s="98">
        <v>4002215005490</v>
      </c>
      <c r="D792" s="93" t="s">
        <v>123</v>
      </c>
      <c r="E792" s="94">
        <f t="shared" si="53"/>
        <v>40000</v>
      </c>
      <c r="F792" s="95"/>
      <c r="G792" s="97"/>
      <c r="H792" s="87"/>
      <c r="I792" s="87"/>
      <c r="J792" s="94">
        <v>40000</v>
      </c>
      <c r="K792" s="87"/>
      <c r="L792" s="87"/>
      <c r="M792" s="87"/>
    </row>
    <row r="793" spans="1:13" ht="15.75">
      <c r="A793" s="87">
        <v>23</v>
      </c>
      <c r="B793" s="99" t="s">
        <v>42</v>
      </c>
      <c r="C793" s="98">
        <v>4002215005425</v>
      </c>
      <c r="D793" s="93" t="s">
        <v>123</v>
      </c>
      <c r="E793" s="94">
        <f t="shared" si="53"/>
        <v>40000</v>
      </c>
      <c r="F793" s="95"/>
      <c r="G793" s="87"/>
      <c r="H793" s="87"/>
      <c r="I793" s="87"/>
      <c r="J793" s="94">
        <v>40000</v>
      </c>
      <c r="K793" s="87"/>
      <c r="L793" s="87"/>
      <c r="M793" s="87"/>
    </row>
    <row r="794" spans="1:13">
      <c r="A794" s="87">
        <v>24</v>
      </c>
      <c r="B794" s="87" t="s">
        <v>131</v>
      </c>
      <c r="C794" s="92">
        <v>4002215005280</v>
      </c>
      <c r="D794" s="93" t="s">
        <v>123</v>
      </c>
      <c r="E794" s="94">
        <f t="shared" si="53"/>
        <v>40000</v>
      </c>
      <c r="F794" s="95"/>
      <c r="G794" s="87"/>
      <c r="H794" s="87"/>
      <c r="I794" s="87"/>
      <c r="J794" s="94">
        <v>40000</v>
      </c>
      <c r="K794" s="87"/>
      <c r="L794" s="87"/>
      <c r="M794" s="87"/>
    </row>
    <row r="795" spans="1:13" ht="15.75">
      <c r="A795" s="87">
        <v>25</v>
      </c>
      <c r="B795" s="96" t="s">
        <v>43</v>
      </c>
      <c r="C795" s="92">
        <v>4002215024731</v>
      </c>
      <c r="D795" s="93" t="s">
        <v>123</v>
      </c>
      <c r="E795" s="94">
        <f t="shared" si="53"/>
        <v>40000</v>
      </c>
      <c r="F795" s="95"/>
      <c r="G795" s="87"/>
      <c r="H795" s="87"/>
      <c r="I795" s="87"/>
      <c r="J795" s="94">
        <v>40000</v>
      </c>
      <c r="K795" s="87"/>
      <c r="L795" s="87"/>
      <c r="M795" s="87"/>
    </row>
    <row r="796" spans="1:13" ht="15.75">
      <c r="A796" s="87">
        <v>26</v>
      </c>
      <c r="B796" s="96" t="s">
        <v>58</v>
      </c>
      <c r="C796" s="98">
        <v>4002205100941</v>
      </c>
      <c r="D796" s="93" t="s">
        <v>123</v>
      </c>
      <c r="E796" s="94">
        <f t="shared" si="53"/>
        <v>40000</v>
      </c>
      <c r="F796" s="95"/>
      <c r="G796" s="87"/>
      <c r="H796" s="87"/>
      <c r="I796" s="87"/>
      <c r="J796" s="94">
        <v>40000</v>
      </c>
      <c r="K796" s="87"/>
      <c r="L796" s="87"/>
      <c r="M796" s="87"/>
    </row>
    <row r="797" spans="1:13" ht="15.75">
      <c r="A797" s="87">
        <v>27</v>
      </c>
      <c r="B797" s="96" t="s">
        <v>44</v>
      </c>
      <c r="C797" s="92">
        <v>4002205008330</v>
      </c>
      <c r="D797" s="93" t="s">
        <v>123</v>
      </c>
      <c r="E797" s="94">
        <f t="shared" si="53"/>
        <v>40000</v>
      </c>
      <c r="F797" s="95"/>
      <c r="G797" s="97"/>
      <c r="H797" s="87"/>
      <c r="I797" s="87"/>
      <c r="J797" s="94">
        <v>40000</v>
      </c>
      <c r="K797" s="87"/>
      <c r="L797" s="87"/>
      <c r="M797" s="87"/>
    </row>
    <row r="798" spans="1:13">
      <c r="A798" s="87">
        <v>28</v>
      </c>
      <c r="B798" s="87" t="s">
        <v>132</v>
      </c>
      <c r="C798" s="100">
        <v>4002215005323</v>
      </c>
      <c r="D798" s="93" t="s">
        <v>123</v>
      </c>
      <c r="E798" s="94">
        <f t="shared" si="53"/>
        <v>40000</v>
      </c>
      <c r="F798" s="104"/>
      <c r="G798" s="87"/>
      <c r="H798" s="87"/>
      <c r="I798" s="87"/>
      <c r="J798" s="94">
        <v>40000</v>
      </c>
      <c r="K798" s="87"/>
      <c r="L798" s="87"/>
      <c r="M798" s="120"/>
    </row>
    <row r="799" spans="1:13" ht="15.75">
      <c r="A799" s="87">
        <v>29</v>
      </c>
      <c r="B799" s="99" t="s">
        <v>46</v>
      </c>
      <c r="C799" s="105">
        <v>4002215005510</v>
      </c>
      <c r="D799" s="93" t="s">
        <v>123</v>
      </c>
      <c r="E799" s="94">
        <f t="shared" si="53"/>
        <v>40000</v>
      </c>
      <c r="F799" s="104"/>
      <c r="G799" s="87"/>
      <c r="H799" s="87"/>
      <c r="I799" s="87"/>
      <c r="J799" s="94">
        <v>40000</v>
      </c>
      <c r="K799" s="87"/>
      <c r="L799" s="87"/>
      <c r="M799" s="87"/>
    </row>
    <row r="800" spans="1:13" ht="15.75">
      <c r="A800" s="87">
        <v>30</v>
      </c>
      <c r="B800" s="96" t="s">
        <v>47</v>
      </c>
      <c r="C800" s="98">
        <v>4002215013889</v>
      </c>
      <c r="D800" s="93" t="s">
        <v>123</v>
      </c>
      <c r="E800" s="94">
        <f t="shared" si="53"/>
        <v>40000</v>
      </c>
      <c r="F800" s="104"/>
      <c r="G800" s="87"/>
      <c r="H800" s="87"/>
      <c r="I800" s="87"/>
      <c r="J800" s="94">
        <v>40000</v>
      </c>
      <c r="K800" s="87"/>
      <c r="L800" s="87"/>
      <c r="M800" s="93"/>
    </row>
    <row r="801" spans="1:13" ht="15.75">
      <c r="A801" s="87">
        <v>31</v>
      </c>
      <c r="B801" s="96" t="s">
        <v>48</v>
      </c>
      <c r="C801" s="92">
        <v>4002215005346</v>
      </c>
      <c r="D801" s="93" t="s">
        <v>123</v>
      </c>
      <c r="E801" s="94">
        <f t="shared" si="53"/>
        <v>40000</v>
      </c>
      <c r="F801" s="104"/>
      <c r="G801" s="87"/>
      <c r="H801" s="87"/>
      <c r="I801" s="87"/>
      <c r="J801" s="94">
        <v>40000</v>
      </c>
      <c r="K801" s="87"/>
      <c r="L801" s="87"/>
      <c r="M801" s="87"/>
    </row>
    <row r="802" spans="1:13" ht="15.75">
      <c r="A802" s="87">
        <v>32</v>
      </c>
      <c r="B802" s="96" t="s">
        <v>92</v>
      </c>
      <c r="C802" s="98">
        <v>4002215021438</v>
      </c>
      <c r="D802" s="93" t="s">
        <v>123</v>
      </c>
      <c r="E802" s="94">
        <f t="shared" si="53"/>
        <v>40000</v>
      </c>
      <c r="F802" s="104"/>
      <c r="G802" s="87"/>
      <c r="H802" s="87"/>
      <c r="I802" s="87"/>
      <c r="J802" s="94">
        <v>40000</v>
      </c>
      <c r="K802" s="87"/>
      <c r="L802" s="87"/>
      <c r="M802" s="87"/>
    </row>
    <row r="803" spans="1:13" ht="15.75">
      <c r="A803" s="87">
        <v>33</v>
      </c>
      <c r="B803" s="96" t="s">
        <v>93</v>
      </c>
      <c r="C803" s="98">
        <v>4002205007265</v>
      </c>
      <c r="D803" s="93" t="s">
        <v>123</v>
      </c>
      <c r="E803" s="94">
        <f t="shared" si="53"/>
        <v>40000</v>
      </c>
      <c r="F803" s="104"/>
      <c r="G803" s="87"/>
      <c r="H803" s="87"/>
      <c r="I803" s="87"/>
      <c r="J803" s="94">
        <v>40000</v>
      </c>
      <c r="K803" s="87"/>
      <c r="L803" s="87"/>
      <c r="M803" s="87"/>
    </row>
    <row r="804" spans="1:13" ht="22.5">
      <c r="A804" s="87">
        <v>34</v>
      </c>
      <c r="B804" s="96" t="s">
        <v>95</v>
      </c>
      <c r="C804" s="100">
        <v>4009205061263</v>
      </c>
      <c r="D804" s="106" t="s">
        <v>133</v>
      </c>
      <c r="E804" s="104">
        <f t="shared" si="53"/>
        <v>40000</v>
      </c>
      <c r="F804" s="104"/>
      <c r="G804" s="87"/>
      <c r="H804" s="87"/>
      <c r="I804" s="87"/>
      <c r="J804" s="94">
        <v>40000</v>
      </c>
      <c r="K804" s="87"/>
      <c r="L804" s="87"/>
      <c r="M804" s="87"/>
    </row>
    <row r="805" spans="1:13" ht="15.75">
      <c r="A805" s="87">
        <v>35</v>
      </c>
      <c r="B805" s="96" t="s">
        <v>49</v>
      </c>
      <c r="C805" s="100">
        <v>4002215005330</v>
      </c>
      <c r="D805" s="93" t="s">
        <v>123</v>
      </c>
      <c r="E805" s="94">
        <f t="shared" si="53"/>
        <v>40000</v>
      </c>
      <c r="F805" s="104"/>
      <c r="G805" s="87"/>
      <c r="H805" s="87"/>
      <c r="I805" s="87"/>
      <c r="J805" s="94">
        <v>40000</v>
      </c>
      <c r="K805" s="87"/>
      <c r="L805" s="87"/>
      <c r="M805" s="87"/>
    </row>
    <row r="806" spans="1:13" ht="15.75">
      <c r="A806" s="87">
        <v>36</v>
      </c>
      <c r="B806" s="96" t="s">
        <v>50</v>
      </c>
      <c r="C806" s="100">
        <v>4002215013758</v>
      </c>
      <c r="D806" s="93" t="s">
        <v>123</v>
      </c>
      <c r="E806" s="94">
        <f t="shared" si="53"/>
        <v>40000</v>
      </c>
      <c r="F806" s="104"/>
      <c r="G806" s="87"/>
      <c r="H806" s="87"/>
      <c r="I806" s="87"/>
      <c r="J806" s="94">
        <v>40000</v>
      </c>
      <c r="K806" s="87"/>
      <c r="L806" s="87"/>
      <c r="M806" s="87"/>
    </row>
    <row r="807" spans="1:13">
      <c r="A807" s="90" t="s">
        <v>134</v>
      </c>
      <c r="B807" s="88" t="s">
        <v>135</v>
      </c>
      <c r="C807" s="107"/>
      <c r="D807" s="103"/>
      <c r="E807" s="89">
        <f>E808</f>
        <v>40000</v>
      </c>
      <c r="F807" s="89"/>
      <c r="G807" s="89">
        <f>G808</f>
        <v>0</v>
      </c>
      <c r="H807" s="87"/>
      <c r="I807" s="87"/>
      <c r="J807" s="89">
        <f>J808</f>
        <v>40000</v>
      </c>
      <c r="K807" s="87"/>
      <c r="L807" s="87"/>
      <c r="M807" s="87"/>
    </row>
    <row r="808" spans="1:13" ht="15.75">
      <c r="A808" s="87">
        <v>1</v>
      </c>
      <c r="B808" s="96" t="s">
        <v>51</v>
      </c>
      <c r="C808" s="100">
        <v>4002205034012</v>
      </c>
      <c r="D808" s="93" t="s">
        <v>123</v>
      </c>
      <c r="E808" s="108">
        <f>F808+G808+J808</f>
        <v>40000</v>
      </c>
      <c r="F808" s="104"/>
      <c r="G808" s="104"/>
      <c r="H808" s="87"/>
      <c r="I808" s="87"/>
      <c r="J808" s="94">
        <v>40000</v>
      </c>
      <c r="K808" s="87"/>
      <c r="L808" s="87"/>
      <c r="M808" s="87"/>
    </row>
    <row r="809" spans="1:13">
      <c r="A809" s="88" t="s">
        <v>136</v>
      </c>
      <c r="B809" s="109" t="s">
        <v>137</v>
      </c>
      <c r="C809" s="110"/>
      <c r="D809" s="87"/>
      <c r="E809" s="88">
        <v>0</v>
      </c>
      <c r="F809" s="88">
        <v>0</v>
      </c>
      <c r="G809" s="87"/>
      <c r="H809" s="87"/>
      <c r="I809" s="87"/>
      <c r="J809" s="94"/>
      <c r="K809" s="87"/>
      <c r="L809" s="87"/>
      <c r="M809" s="87"/>
    </row>
    <row r="810" spans="1:13">
      <c r="A810" s="1" t="s">
        <v>100</v>
      </c>
      <c r="C810" s="179" t="s">
        <v>346</v>
      </c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</row>
    <row r="811" spans="1:13" ht="15.75">
      <c r="A811" s="111" t="s">
        <v>138</v>
      </c>
      <c r="B811" s="111"/>
      <c r="C811" s="111"/>
      <c r="D811" s="111"/>
      <c r="E811" s="111"/>
      <c r="F811" s="111"/>
      <c r="G811" s="239"/>
      <c r="H811" s="239"/>
      <c r="I811" s="239"/>
      <c r="J811" s="239"/>
      <c r="K811" s="239"/>
      <c r="L811" s="239"/>
      <c r="M811" s="239"/>
    </row>
    <row r="812" spans="1:13">
      <c r="A812" s="190"/>
      <c r="B812" s="190" t="s">
        <v>347</v>
      </c>
      <c r="C812" s="190">
        <v>37</v>
      </c>
      <c r="D812" s="190"/>
      <c r="E812" s="115"/>
      <c r="F812" s="82"/>
      <c r="G812" s="82"/>
      <c r="H812" s="241" t="s">
        <v>339</v>
      </c>
      <c r="I812" s="241"/>
      <c r="J812" s="241"/>
      <c r="K812" s="241"/>
      <c r="L812" s="241"/>
      <c r="M812" s="241"/>
    </row>
    <row r="813" spans="1:13" ht="15.75">
      <c r="A813" s="82"/>
      <c r="B813" s="82"/>
      <c r="C813" s="239" t="s">
        <v>142</v>
      </c>
      <c r="D813" s="239"/>
      <c r="E813" s="239" t="s">
        <v>79</v>
      </c>
      <c r="F813" s="239"/>
      <c r="G813" s="239"/>
      <c r="H813" s="239" t="s">
        <v>143</v>
      </c>
      <c r="I813" s="239"/>
      <c r="J813" s="239"/>
      <c r="K813" s="239"/>
      <c r="L813" s="239"/>
      <c r="M813" s="239"/>
    </row>
    <row r="814" spans="1:13">
      <c r="A814" s="82"/>
      <c r="B814" s="82"/>
      <c r="C814" s="242" t="s">
        <v>144</v>
      </c>
      <c r="D814" s="242"/>
      <c r="E814" s="242" t="s">
        <v>145</v>
      </c>
      <c r="F814" s="242"/>
      <c r="G814" s="242"/>
      <c r="H814" s="242" t="s">
        <v>146</v>
      </c>
      <c r="I814" s="242"/>
      <c r="J814" s="242"/>
      <c r="K814" s="242"/>
      <c r="L814" s="242"/>
      <c r="M814" s="242"/>
    </row>
    <row r="815" spans="1:13">
      <c r="A815" s="82"/>
      <c r="B815" s="82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</row>
    <row r="816" spans="1:13">
      <c r="A816" s="82"/>
      <c r="B816" s="82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</row>
    <row r="817" spans="1:13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</row>
    <row r="818" spans="1:13" ht="15.75">
      <c r="A818" s="82"/>
      <c r="B818" s="82"/>
      <c r="C818" s="239" t="s">
        <v>59</v>
      </c>
      <c r="D818" s="239"/>
      <c r="E818" s="239" t="s">
        <v>59</v>
      </c>
      <c r="F818" s="239"/>
      <c r="G818" s="239"/>
      <c r="H818" s="239" t="s">
        <v>60</v>
      </c>
      <c r="I818" s="239"/>
      <c r="J818" s="239"/>
      <c r="K818" s="239"/>
      <c r="L818" s="239"/>
      <c r="M818" s="239"/>
    </row>
    <row r="819" spans="1:13">
      <c r="A819" s="240" t="s">
        <v>147</v>
      </c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</row>
    <row r="820" spans="1:13">
      <c r="A820" s="82"/>
      <c r="B820" s="82"/>
      <c r="C820" s="82"/>
      <c r="D820" s="82"/>
      <c r="E820" s="82"/>
      <c r="F820" s="82"/>
      <c r="G820" s="241" t="s">
        <v>157</v>
      </c>
      <c r="H820" s="241"/>
      <c r="I820" s="241"/>
      <c r="J820" s="241"/>
      <c r="K820" s="241"/>
      <c r="L820" s="241"/>
      <c r="M820" s="241"/>
    </row>
    <row r="821" spans="1:13" ht="15.75">
      <c r="A821" s="82"/>
      <c r="B821" s="240" t="s">
        <v>148</v>
      </c>
      <c r="C821" s="240"/>
      <c r="D821" s="240"/>
      <c r="E821" s="240"/>
      <c r="F821" s="240"/>
      <c r="G821" s="239" t="s">
        <v>149</v>
      </c>
      <c r="H821" s="239"/>
      <c r="I821" s="239"/>
      <c r="J821" s="239"/>
      <c r="K821" s="239"/>
      <c r="L821" s="239"/>
      <c r="M821" s="239"/>
    </row>
    <row r="822" spans="1:13" ht="15.75">
      <c r="A822" s="82"/>
      <c r="B822" s="189"/>
      <c r="C822" s="189"/>
      <c r="D822" s="189"/>
      <c r="E822" s="189"/>
      <c r="F822" s="189"/>
      <c r="G822" s="188"/>
      <c r="H822" s="188"/>
      <c r="I822" s="188"/>
      <c r="J822" s="188"/>
      <c r="K822" s="188"/>
      <c r="L822" s="188"/>
      <c r="M822" s="188"/>
    </row>
    <row r="823" spans="1:13">
      <c r="A823" s="82"/>
      <c r="B823" s="82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</row>
    <row r="829" spans="1:13" ht="18.75">
      <c r="A829" s="253" t="s">
        <v>102</v>
      </c>
      <c r="B829" s="253"/>
      <c r="C829" s="253"/>
      <c r="D829" s="253"/>
      <c r="E829" s="253"/>
      <c r="F829" s="253"/>
      <c r="G829" s="253"/>
      <c r="H829" s="253"/>
      <c r="I829" s="253"/>
      <c r="J829" s="253"/>
      <c r="K829" s="242" t="s">
        <v>103</v>
      </c>
      <c r="L829" s="242"/>
      <c r="M829" s="81"/>
    </row>
    <row r="830" spans="1:13" ht="18.75">
      <c r="A830" s="254" t="s">
        <v>335</v>
      </c>
      <c r="B830" s="254"/>
      <c r="C830" s="254"/>
      <c r="D830" s="254"/>
      <c r="E830" s="254"/>
      <c r="F830" s="254"/>
      <c r="G830" s="254"/>
      <c r="H830" s="254"/>
      <c r="I830" s="254"/>
      <c r="J830" s="254"/>
      <c r="K830" s="255" t="s">
        <v>215</v>
      </c>
      <c r="L830" s="255"/>
      <c r="M830" s="82"/>
    </row>
    <row r="831" spans="1:13" ht="18.75">
      <c r="A831" s="197"/>
      <c r="B831" s="197"/>
      <c r="C831" s="254" t="s">
        <v>104</v>
      </c>
      <c r="D831" s="254"/>
      <c r="E831" s="254"/>
      <c r="F831" s="254"/>
      <c r="G831" s="254"/>
      <c r="H831" s="254"/>
      <c r="I831" s="254"/>
      <c r="J831" s="197"/>
      <c r="K831" s="197"/>
      <c r="L831" s="197"/>
      <c r="M831" s="82"/>
    </row>
    <row r="832" spans="1:13" ht="16.5">
      <c r="A832" s="256" t="s">
        <v>105</v>
      </c>
      <c r="B832" s="256"/>
      <c r="C832" s="256"/>
      <c r="D832" s="256"/>
      <c r="E832" s="256"/>
      <c r="F832" s="256"/>
      <c r="G832" s="256"/>
      <c r="H832" s="256"/>
      <c r="I832" s="256"/>
      <c r="J832" s="256"/>
      <c r="K832" s="256"/>
      <c r="L832" s="256"/>
      <c r="M832" s="82"/>
    </row>
    <row r="833" spans="1:13" ht="16.5">
      <c r="A833" s="256" t="s">
        <v>106</v>
      </c>
      <c r="B833" s="256"/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82"/>
    </row>
    <row r="834" spans="1:13" ht="16.5">
      <c r="A834" s="256" t="s">
        <v>107</v>
      </c>
      <c r="B834" s="256"/>
      <c r="C834" s="256"/>
      <c r="D834" s="256"/>
      <c r="E834" s="256"/>
      <c r="F834" s="256"/>
      <c r="G834" s="256"/>
      <c r="H834" s="256"/>
      <c r="I834" s="256"/>
      <c r="J834" s="256"/>
      <c r="K834" s="256"/>
      <c r="L834" s="256"/>
      <c r="M834" s="82"/>
    </row>
    <row r="835" spans="1:13" ht="15.75">
      <c r="A835" s="257" t="s">
        <v>354</v>
      </c>
      <c r="B835" s="257"/>
      <c r="C835" s="257"/>
      <c r="D835" s="257"/>
      <c r="E835" s="257"/>
      <c r="F835" s="257"/>
      <c r="G835" s="257"/>
      <c r="H835" s="257"/>
      <c r="I835" s="257"/>
      <c r="J835" s="257"/>
      <c r="K835" s="257"/>
      <c r="L835" s="257"/>
      <c r="M835" s="82"/>
    </row>
    <row r="836" spans="1:13">
      <c r="A836" s="245" t="s">
        <v>0</v>
      </c>
      <c r="B836" s="247" t="s">
        <v>108</v>
      </c>
      <c r="C836" s="249" t="s">
        <v>109</v>
      </c>
      <c r="D836" s="249"/>
      <c r="E836" s="247" t="s">
        <v>110</v>
      </c>
      <c r="F836" s="250" t="s">
        <v>111</v>
      </c>
      <c r="G836" s="251"/>
      <c r="H836" s="251"/>
      <c r="I836" s="251"/>
      <c r="J836" s="251"/>
      <c r="K836" s="251"/>
      <c r="L836" s="252"/>
      <c r="M836" s="247" t="s">
        <v>57</v>
      </c>
    </row>
    <row r="837" spans="1:13" ht="42">
      <c r="A837" s="246"/>
      <c r="B837" s="248"/>
      <c r="C837" s="84" t="s">
        <v>112</v>
      </c>
      <c r="D837" s="84" t="s">
        <v>113</v>
      </c>
      <c r="E837" s="248"/>
      <c r="F837" s="84" t="s">
        <v>114</v>
      </c>
      <c r="G837" s="85" t="s">
        <v>115</v>
      </c>
      <c r="H837" s="85" t="s">
        <v>116</v>
      </c>
      <c r="I837" s="84" t="s">
        <v>117</v>
      </c>
      <c r="J837" s="84" t="s">
        <v>118</v>
      </c>
      <c r="K837" s="84" t="s">
        <v>119</v>
      </c>
      <c r="L837" s="84" t="s">
        <v>120</v>
      </c>
      <c r="M837" s="248"/>
    </row>
    <row r="838" spans="1:13">
      <c r="A838" s="86">
        <v>1</v>
      </c>
      <c r="B838" s="86">
        <v>2</v>
      </c>
      <c r="C838" s="86">
        <v>3</v>
      </c>
      <c r="D838" s="86"/>
      <c r="E838" s="86">
        <v>4</v>
      </c>
      <c r="F838" s="86">
        <v>5</v>
      </c>
      <c r="G838" s="86">
        <v>6</v>
      </c>
      <c r="H838" s="86">
        <v>7</v>
      </c>
      <c r="I838" s="86">
        <v>8</v>
      </c>
      <c r="J838" s="86">
        <v>9</v>
      </c>
      <c r="K838" s="86">
        <v>10</v>
      </c>
      <c r="L838" s="86">
        <v>11</v>
      </c>
      <c r="M838" s="86">
        <v>12</v>
      </c>
    </row>
    <row r="839" spans="1:13" ht="15.75" customHeight="1">
      <c r="A839" s="87"/>
      <c r="B839" s="88" t="s">
        <v>110</v>
      </c>
      <c r="C839" s="87"/>
      <c r="D839" s="87"/>
      <c r="E839" s="89">
        <f>E840+E849</f>
        <v>930000</v>
      </c>
      <c r="F839" s="89">
        <f>F840+F849</f>
        <v>0</v>
      </c>
      <c r="G839" s="89">
        <f t="shared" ref="G839:J839" si="54">G840+G849</f>
        <v>0</v>
      </c>
      <c r="H839" s="89">
        <f t="shared" si="54"/>
        <v>0</v>
      </c>
      <c r="I839" s="89">
        <f t="shared" si="54"/>
        <v>0</v>
      </c>
      <c r="J839" s="89">
        <f t="shared" si="54"/>
        <v>930000</v>
      </c>
      <c r="K839" s="87"/>
      <c r="L839" s="87"/>
      <c r="M839" s="87"/>
    </row>
    <row r="840" spans="1:13">
      <c r="A840" s="90" t="s">
        <v>121</v>
      </c>
      <c r="B840" s="88" t="s">
        <v>122</v>
      </c>
      <c r="C840" s="87"/>
      <c r="D840" s="87"/>
      <c r="E840" s="89">
        <f t="shared" ref="E840:J840" si="55">SUM(E841:E848)</f>
        <v>630000</v>
      </c>
      <c r="F840" s="89">
        <f t="shared" si="55"/>
        <v>0</v>
      </c>
      <c r="G840" s="89">
        <f t="shared" si="55"/>
        <v>0</v>
      </c>
      <c r="H840" s="89">
        <f t="shared" si="55"/>
        <v>0</v>
      </c>
      <c r="I840" s="89">
        <f t="shared" si="55"/>
        <v>0</v>
      </c>
      <c r="J840" s="89">
        <f t="shared" si="55"/>
        <v>630000</v>
      </c>
      <c r="K840" s="87"/>
      <c r="L840" s="87"/>
      <c r="M840" s="87"/>
    </row>
    <row r="841" spans="1:13" ht="15.75">
      <c r="A841" s="87">
        <v>1</v>
      </c>
      <c r="B841" s="91" t="s">
        <v>60</v>
      </c>
      <c r="C841" s="92">
        <v>4002205008058</v>
      </c>
      <c r="D841" s="93" t="s">
        <v>123</v>
      </c>
      <c r="E841" s="94">
        <f>SUM(F841:L841)</f>
        <v>140000</v>
      </c>
      <c r="F841" s="95"/>
      <c r="G841" s="87"/>
      <c r="H841" s="87"/>
      <c r="I841" s="87"/>
      <c r="J841" s="94">
        <v>140000</v>
      </c>
      <c r="K841" s="87"/>
      <c r="L841" s="87"/>
      <c r="M841" s="87" t="s">
        <v>350</v>
      </c>
    </row>
    <row r="842" spans="1:13" ht="15.75">
      <c r="A842" s="87">
        <v>2</v>
      </c>
      <c r="B842" s="96" t="s">
        <v>84</v>
      </c>
      <c r="C842" s="92">
        <v>4002205099727</v>
      </c>
      <c r="D842" s="93" t="s">
        <v>123</v>
      </c>
      <c r="E842" s="94">
        <f t="shared" ref="E842" si="56">SUM(F842:L842)</f>
        <v>70000</v>
      </c>
      <c r="F842" s="95"/>
      <c r="G842" s="87"/>
      <c r="H842" s="87"/>
      <c r="I842" s="87"/>
      <c r="J842" s="94">
        <v>70000</v>
      </c>
      <c r="K842" s="87"/>
      <c r="L842" s="87"/>
      <c r="M842" s="87" t="s">
        <v>351</v>
      </c>
    </row>
    <row r="843" spans="1:13" ht="15.75">
      <c r="A843" s="87">
        <v>3</v>
      </c>
      <c r="B843" s="96" t="s">
        <v>91</v>
      </c>
      <c r="C843" s="100">
        <v>4001205046288</v>
      </c>
      <c r="D843" s="93" t="s">
        <v>129</v>
      </c>
      <c r="E843" s="94">
        <f>SUM(F843:L843)</f>
        <v>70000</v>
      </c>
      <c r="F843" s="101"/>
      <c r="G843" s="87"/>
      <c r="H843" s="87"/>
      <c r="I843" s="87"/>
      <c r="J843" s="94">
        <v>70000</v>
      </c>
      <c r="K843" s="87"/>
      <c r="L843" s="87"/>
      <c r="M843" s="87" t="s">
        <v>351</v>
      </c>
    </row>
    <row r="844" spans="1:13" ht="15.75">
      <c r="A844" s="87">
        <v>4</v>
      </c>
      <c r="B844" s="99" t="s">
        <v>41</v>
      </c>
      <c r="C844" s="98">
        <v>4002215005490</v>
      </c>
      <c r="D844" s="93" t="s">
        <v>123</v>
      </c>
      <c r="E844" s="94">
        <f t="shared" ref="E844:E848" si="57">SUM(F844:L844)</f>
        <v>70000</v>
      </c>
      <c r="F844" s="95"/>
      <c r="G844" s="97"/>
      <c r="H844" s="87"/>
      <c r="I844" s="87"/>
      <c r="J844" s="94">
        <v>70000</v>
      </c>
      <c r="K844" s="87"/>
      <c r="L844" s="87"/>
      <c r="M844" s="87" t="s">
        <v>351</v>
      </c>
    </row>
    <row r="845" spans="1:13" ht="15.75">
      <c r="A845" s="87">
        <v>5</v>
      </c>
      <c r="B845" s="99" t="s">
        <v>42</v>
      </c>
      <c r="C845" s="98">
        <v>4002215005425</v>
      </c>
      <c r="D845" s="93" t="s">
        <v>123</v>
      </c>
      <c r="E845" s="94">
        <f t="shared" si="57"/>
        <v>70000</v>
      </c>
      <c r="F845" s="95"/>
      <c r="G845" s="87"/>
      <c r="H845" s="87"/>
      <c r="I845" s="87"/>
      <c r="J845" s="94">
        <v>70000</v>
      </c>
      <c r="K845" s="87"/>
      <c r="L845" s="87"/>
      <c r="M845" s="87" t="s">
        <v>351</v>
      </c>
    </row>
    <row r="846" spans="1:13" ht="15" customHeight="1">
      <c r="A846" s="87">
        <v>6</v>
      </c>
      <c r="B846" s="96" t="s">
        <v>95</v>
      </c>
      <c r="C846" s="100">
        <v>4009205061263</v>
      </c>
      <c r="D846" s="106" t="s">
        <v>133</v>
      </c>
      <c r="E846" s="104">
        <f t="shared" ref="E846:E847" si="58">SUM(F846:L846)</f>
        <v>70000</v>
      </c>
      <c r="F846" s="104"/>
      <c r="G846" s="87"/>
      <c r="H846" s="87"/>
      <c r="I846" s="87"/>
      <c r="J846" s="94">
        <v>70000</v>
      </c>
      <c r="K846" s="87"/>
      <c r="L846" s="87"/>
      <c r="M846" s="87" t="s">
        <v>351</v>
      </c>
    </row>
    <row r="847" spans="1:13" ht="13.5" customHeight="1">
      <c r="A847" s="87">
        <v>7</v>
      </c>
      <c r="B847" s="96" t="s">
        <v>93</v>
      </c>
      <c r="C847" s="98">
        <v>4002205007265</v>
      </c>
      <c r="D847" s="93" t="s">
        <v>123</v>
      </c>
      <c r="E847" s="94">
        <f t="shared" si="58"/>
        <v>70000</v>
      </c>
      <c r="F847" s="104"/>
      <c r="G847" s="87"/>
      <c r="H847" s="87"/>
      <c r="I847" s="87"/>
      <c r="J847" s="94">
        <v>70000</v>
      </c>
      <c r="K847" s="87"/>
      <c r="L847" s="87"/>
      <c r="M847" s="87" t="s">
        <v>351</v>
      </c>
    </row>
    <row r="848" spans="1:13" ht="15.75">
      <c r="A848" s="87">
        <v>8</v>
      </c>
      <c r="B848" s="96" t="s">
        <v>47</v>
      </c>
      <c r="C848" s="98">
        <v>4002215013889</v>
      </c>
      <c r="D848" s="93" t="s">
        <v>123</v>
      </c>
      <c r="E848" s="94">
        <f t="shared" si="57"/>
        <v>70000</v>
      </c>
      <c r="F848" s="104"/>
      <c r="G848" s="87"/>
      <c r="H848" s="87"/>
      <c r="I848" s="87"/>
      <c r="J848" s="94">
        <v>70000</v>
      </c>
      <c r="K848" s="87"/>
      <c r="L848" s="87"/>
      <c r="M848" s="87" t="s">
        <v>351</v>
      </c>
    </row>
    <row r="849" spans="1:13">
      <c r="A849" s="90" t="s">
        <v>134</v>
      </c>
      <c r="B849" s="88" t="s">
        <v>135</v>
      </c>
      <c r="C849" s="107"/>
      <c r="D849" s="103"/>
      <c r="E849" s="89">
        <f>E850</f>
        <v>300000</v>
      </c>
      <c r="F849" s="89"/>
      <c r="G849" s="89">
        <f>G850</f>
        <v>0</v>
      </c>
      <c r="H849" s="87"/>
      <c r="I849" s="87"/>
      <c r="J849" s="89">
        <f>J850</f>
        <v>300000</v>
      </c>
      <c r="K849" s="87"/>
      <c r="L849" s="87"/>
      <c r="M849" s="87"/>
    </row>
    <row r="850" spans="1:13" ht="15.75">
      <c r="A850" s="87">
        <v>1</v>
      </c>
      <c r="B850" s="96" t="s">
        <v>51</v>
      </c>
      <c r="C850" s="100">
        <v>4002205034012</v>
      </c>
      <c r="D850" s="93" t="s">
        <v>123</v>
      </c>
      <c r="E850" s="108">
        <f>F850+G850+J850</f>
        <v>300000</v>
      </c>
      <c r="F850" s="104"/>
      <c r="G850" s="104"/>
      <c r="H850" s="87"/>
      <c r="I850" s="87"/>
      <c r="J850" s="94">
        <v>300000</v>
      </c>
      <c r="K850" s="87"/>
      <c r="L850" s="87"/>
      <c r="M850" s="87" t="s">
        <v>352</v>
      </c>
    </row>
    <row r="851" spans="1:13">
      <c r="A851" s="1" t="s">
        <v>100</v>
      </c>
      <c r="C851" s="179" t="s">
        <v>353</v>
      </c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</row>
    <row r="852" spans="1:13" ht="15.75">
      <c r="A852" s="111" t="s">
        <v>138</v>
      </c>
      <c r="B852" s="111"/>
      <c r="C852" s="111"/>
      <c r="D852" s="111"/>
      <c r="E852" s="111"/>
      <c r="F852" s="111"/>
      <c r="G852" s="111"/>
      <c r="H852" s="241" t="s">
        <v>339</v>
      </c>
      <c r="I852" s="241"/>
      <c r="J852" s="241"/>
      <c r="K852" s="241"/>
      <c r="L852" s="241"/>
      <c r="M852" s="241"/>
    </row>
    <row r="853" spans="1:13" ht="15.75">
      <c r="A853" s="82"/>
      <c r="B853" s="82"/>
      <c r="C853" s="239" t="s">
        <v>142</v>
      </c>
      <c r="D853" s="239"/>
      <c r="E853" s="239" t="s">
        <v>79</v>
      </c>
      <c r="F853" s="239"/>
      <c r="G853" s="239"/>
      <c r="H853" s="239" t="s">
        <v>143</v>
      </c>
      <c r="I853" s="239"/>
      <c r="J853" s="239"/>
      <c r="K853" s="239"/>
      <c r="L853" s="239"/>
      <c r="M853" s="239"/>
    </row>
    <row r="854" spans="1:13">
      <c r="A854" s="82"/>
      <c r="B854" s="82"/>
      <c r="C854" s="242" t="s">
        <v>144</v>
      </c>
      <c r="D854" s="242"/>
      <c r="E854" s="242" t="s">
        <v>145</v>
      </c>
      <c r="F854" s="242"/>
      <c r="G854" s="242"/>
      <c r="H854" s="242" t="s">
        <v>146</v>
      </c>
      <c r="I854" s="242"/>
      <c r="J854" s="242"/>
      <c r="K854" s="242"/>
      <c r="L854" s="242"/>
      <c r="M854" s="242"/>
    </row>
    <row r="855" spans="1:13">
      <c r="A855" s="82"/>
      <c r="B855" s="82"/>
      <c r="C855" s="194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</row>
    <row r="856" spans="1:13">
      <c r="A856" s="82"/>
      <c r="B856" s="82"/>
      <c r="C856" s="194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</row>
    <row r="857" spans="1:13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</row>
    <row r="858" spans="1:13" ht="15.75">
      <c r="A858" s="82"/>
      <c r="B858" s="82"/>
      <c r="C858" s="239" t="s">
        <v>59</v>
      </c>
      <c r="D858" s="239"/>
      <c r="E858" s="239" t="s">
        <v>59</v>
      </c>
      <c r="F858" s="239"/>
      <c r="G858" s="239"/>
      <c r="H858" s="239" t="s">
        <v>60</v>
      </c>
      <c r="I858" s="239"/>
      <c r="J858" s="239"/>
      <c r="K858" s="239"/>
      <c r="L858" s="239"/>
      <c r="M858" s="239"/>
    </row>
    <row r="859" spans="1:13">
      <c r="A859" s="240" t="s">
        <v>147</v>
      </c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</row>
    <row r="860" spans="1:13">
      <c r="A860" s="82"/>
      <c r="B860" s="82"/>
      <c r="C860" s="82"/>
      <c r="D860" s="82"/>
      <c r="E860" s="82"/>
      <c r="F860" s="82"/>
      <c r="G860" s="241" t="s">
        <v>157</v>
      </c>
      <c r="H860" s="241"/>
      <c r="I860" s="241"/>
      <c r="J860" s="241"/>
      <c r="K860" s="241"/>
      <c r="L860" s="241"/>
      <c r="M860" s="241"/>
    </row>
    <row r="861" spans="1:13" ht="15.75">
      <c r="A861" s="82"/>
      <c r="B861" s="240" t="s">
        <v>148</v>
      </c>
      <c r="C861" s="240"/>
      <c r="D861" s="240"/>
      <c r="E861" s="240"/>
      <c r="F861" s="240"/>
      <c r="G861" s="239" t="s">
        <v>149</v>
      </c>
      <c r="H861" s="239"/>
      <c r="I861" s="239"/>
      <c r="J861" s="239"/>
      <c r="K861" s="239"/>
      <c r="L861" s="239"/>
      <c r="M861" s="239"/>
    </row>
    <row r="862" spans="1:13" ht="15.75">
      <c r="A862" s="82"/>
      <c r="B862" s="195"/>
      <c r="C862" s="195"/>
      <c r="D862" s="195"/>
      <c r="E862" s="195"/>
      <c r="F862" s="195"/>
      <c r="G862" s="196"/>
      <c r="H862" s="196"/>
      <c r="I862" s="196"/>
      <c r="J862" s="196"/>
      <c r="K862" s="196"/>
      <c r="L862" s="196"/>
      <c r="M862" s="196"/>
    </row>
    <row r="864" spans="1:13" ht="18.75">
      <c r="A864" s="253" t="s">
        <v>102</v>
      </c>
      <c r="B864" s="253"/>
      <c r="C864" s="253"/>
      <c r="D864" s="253"/>
      <c r="E864" s="253"/>
      <c r="F864" s="253"/>
      <c r="G864" s="253"/>
      <c r="H864" s="253"/>
      <c r="I864" s="253"/>
      <c r="J864" s="253"/>
      <c r="K864" s="242" t="s">
        <v>103</v>
      </c>
      <c r="L864" s="242"/>
      <c r="M864" s="81"/>
    </row>
    <row r="865" spans="1:13" ht="18.75">
      <c r="A865" s="254" t="s">
        <v>335</v>
      </c>
      <c r="B865" s="254"/>
      <c r="C865" s="254"/>
      <c r="D865" s="254"/>
      <c r="E865" s="254"/>
      <c r="F865" s="254"/>
      <c r="G865" s="254"/>
      <c r="H865" s="254"/>
      <c r="I865" s="254"/>
      <c r="J865" s="254"/>
      <c r="K865" s="255" t="s">
        <v>215</v>
      </c>
      <c r="L865" s="255"/>
      <c r="M865" s="82"/>
    </row>
    <row r="866" spans="1:13" ht="18.75">
      <c r="A866" s="201"/>
      <c r="B866" s="201"/>
      <c r="C866" s="254" t="s">
        <v>104</v>
      </c>
      <c r="D866" s="254"/>
      <c r="E866" s="254"/>
      <c r="F866" s="254"/>
      <c r="G866" s="254"/>
      <c r="H866" s="254"/>
      <c r="I866" s="254"/>
      <c r="J866" s="201"/>
      <c r="K866" s="201"/>
      <c r="L866" s="201"/>
      <c r="M866" s="82"/>
    </row>
    <row r="867" spans="1:13" ht="16.5">
      <c r="A867" s="256" t="s">
        <v>105</v>
      </c>
      <c r="B867" s="256"/>
      <c r="C867" s="256"/>
      <c r="D867" s="256"/>
      <c r="E867" s="256"/>
      <c r="F867" s="256"/>
      <c r="G867" s="256"/>
      <c r="H867" s="256"/>
      <c r="I867" s="256"/>
      <c r="J867" s="256"/>
      <c r="K867" s="256"/>
      <c r="L867" s="256"/>
      <c r="M867" s="82"/>
    </row>
    <row r="868" spans="1:13" ht="16.5">
      <c r="A868" s="256" t="s">
        <v>106</v>
      </c>
      <c r="B868" s="256"/>
      <c r="C868" s="256"/>
      <c r="D868" s="256"/>
      <c r="E868" s="256"/>
      <c r="F868" s="256"/>
      <c r="G868" s="256"/>
      <c r="H868" s="256"/>
      <c r="I868" s="256"/>
      <c r="J868" s="256"/>
      <c r="K868" s="256"/>
      <c r="L868" s="256"/>
      <c r="M868" s="82"/>
    </row>
    <row r="869" spans="1:13" ht="16.5">
      <c r="A869" s="256" t="s">
        <v>107</v>
      </c>
      <c r="B869" s="256"/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82"/>
    </row>
    <row r="870" spans="1:13" ht="15.75">
      <c r="A870" s="257" t="s">
        <v>355</v>
      </c>
      <c r="B870" s="257"/>
      <c r="C870" s="257"/>
      <c r="D870" s="257"/>
      <c r="E870" s="257"/>
      <c r="F870" s="257"/>
      <c r="G870" s="257"/>
      <c r="H870" s="257"/>
      <c r="I870" s="257"/>
      <c r="J870" s="257"/>
      <c r="K870" s="257"/>
      <c r="L870" s="257"/>
      <c r="M870" s="82"/>
    </row>
    <row r="871" spans="1:13">
      <c r="A871" s="245" t="s">
        <v>0</v>
      </c>
      <c r="B871" s="247" t="s">
        <v>108</v>
      </c>
      <c r="C871" s="249" t="s">
        <v>109</v>
      </c>
      <c r="D871" s="249"/>
      <c r="E871" s="247" t="s">
        <v>110</v>
      </c>
      <c r="F871" s="250" t="s">
        <v>111</v>
      </c>
      <c r="G871" s="251"/>
      <c r="H871" s="251"/>
      <c r="I871" s="251"/>
      <c r="J871" s="251"/>
      <c r="K871" s="251"/>
      <c r="L871" s="252"/>
      <c r="M871" s="247" t="s">
        <v>57</v>
      </c>
    </row>
    <row r="872" spans="1:13" ht="42">
      <c r="A872" s="246"/>
      <c r="B872" s="248"/>
      <c r="C872" s="84" t="s">
        <v>112</v>
      </c>
      <c r="D872" s="84" t="s">
        <v>113</v>
      </c>
      <c r="E872" s="248"/>
      <c r="F872" s="84" t="s">
        <v>114</v>
      </c>
      <c r="G872" s="85" t="s">
        <v>115</v>
      </c>
      <c r="H872" s="85" t="s">
        <v>116</v>
      </c>
      <c r="I872" s="84" t="s">
        <v>117</v>
      </c>
      <c r="J872" s="84" t="s">
        <v>118</v>
      </c>
      <c r="K872" s="84" t="s">
        <v>119</v>
      </c>
      <c r="L872" s="84" t="s">
        <v>120</v>
      </c>
      <c r="M872" s="248"/>
    </row>
    <row r="873" spans="1:13">
      <c r="A873" s="86">
        <v>1</v>
      </c>
      <c r="B873" s="86">
        <v>2</v>
      </c>
      <c r="C873" s="86">
        <v>3</v>
      </c>
      <c r="D873" s="86"/>
      <c r="E873" s="86">
        <v>4</v>
      </c>
      <c r="F873" s="86">
        <v>5</v>
      </c>
      <c r="G873" s="86">
        <v>6</v>
      </c>
      <c r="H873" s="86">
        <v>7</v>
      </c>
      <c r="I873" s="86">
        <v>8</v>
      </c>
      <c r="J873" s="86">
        <v>9</v>
      </c>
      <c r="K873" s="86">
        <v>10</v>
      </c>
      <c r="L873" s="86">
        <v>11</v>
      </c>
      <c r="M873" s="86">
        <v>12</v>
      </c>
    </row>
    <row r="874" spans="1:13">
      <c r="A874" s="87"/>
      <c r="B874" s="88" t="s">
        <v>110</v>
      </c>
      <c r="C874" s="87"/>
      <c r="D874" s="87"/>
      <c r="E874" s="89">
        <f>E875</f>
        <v>600000</v>
      </c>
      <c r="F874" s="89">
        <f t="shared" ref="F874:J874" si="59">F875</f>
        <v>0</v>
      </c>
      <c r="G874" s="89">
        <f t="shared" si="59"/>
        <v>0</v>
      </c>
      <c r="H874" s="89">
        <f t="shared" si="59"/>
        <v>0</v>
      </c>
      <c r="I874" s="89">
        <f t="shared" si="59"/>
        <v>0</v>
      </c>
      <c r="J874" s="89">
        <f t="shared" si="59"/>
        <v>600000</v>
      </c>
      <c r="K874" s="87"/>
      <c r="L874" s="87"/>
      <c r="M874" s="87"/>
    </row>
    <row r="875" spans="1:13">
      <c r="A875" s="90" t="s">
        <v>121</v>
      </c>
      <c r="B875" s="88" t="s">
        <v>122</v>
      </c>
      <c r="C875" s="87"/>
      <c r="D875" s="87"/>
      <c r="E875" s="89">
        <f t="shared" ref="E875:J875" si="60">SUM(E876:E890)</f>
        <v>600000</v>
      </c>
      <c r="F875" s="89">
        <f t="shared" si="60"/>
        <v>0</v>
      </c>
      <c r="G875" s="89">
        <f t="shared" si="60"/>
        <v>0</v>
      </c>
      <c r="H875" s="89">
        <f t="shared" si="60"/>
        <v>0</v>
      </c>
      <c r="I875" s="89">
        <f t="shared" si="60"/>
        <v>0</v>
      </c>
      <c r="J875" s="89">
        <f t="shared" si="60"/>
        <v>600000</v>
      </c>
      <c r="K875" s="87"/>
      <c r="L875" s="87"/>
      <c r="M875" s="87"/>
    </row>
    <row r="876" spans="1:13" ht="20.25" customHeight="1">
      <c r="A876" s="87">
        <v>1</v>
      </c>
      <c r="B876" s="91" t="s">
        <v>60</v>
      </c>
      <c r="C876" s="92">
        <v>4002205008058</v>
      </c>
      <c r="D876" s="93" t="s">
        <v>123</v>
      </c>
      <c r="E876" s="94">
        <f>SUM(F876:L876)</f>
        <v>40000</v>
      </c>
      <c r="F876" s="95"/>
      <c r="G876" s="87"/>
      <c r="H876" s="87"/>
      <c r="I876" s="87"/>
      <c r="J876" s="94">
        <v>40000</v>
      </c>
      <c r="K876" s="87"/>
      <c r="L876" s="87"/>
      <c r="M876" s="87"/>
    </row>
    <row r="877" spans="1:13" ht="20.25" customHeight="1">
      <c r="A877" s="87">
        <v>2</v>
      </c>
      <c r="B877" s="96" t="s">
        <v>84</v>
      </c>
      <c r="C877" s="92">
        <v>4002205099727</v>
      </c>
      <c r="D877" s="93" t="s">
        <v>123</v>
      </c>
      <c r="E877" s="94">
        <f t="shared" ref="E877" si="61">SUM(F877:L877)</f>
        <v>40000</v>
      </c>
      <c r="F877" s="95"/>
      <c r="G877" s="87"/>
      <c r="H877" s="87"/>
      <c r="I877" s="87"/>
      <c r="J877" s="94">
        <v>40000</v>
      </c>
      <c r="K877" s="87"/>
      <c r="L877" s="87"/>
      <c r="M877" s="87"/>
    </row>
    <row r="878" spans="1:13" ht="20.25" customHeight="1">
      <c r="A878" s="87">
        <v>3</v>
      </c>
      <c r="B878" s="96" t="s">
        <v>91</v>
      </c>
      <c r="C878" s="100">
        <v>4001205046288</v>
      </c>
      <c r="D878" s="93" t="s">
        <v>129</v>
      </c>
      <c r="E878" s="94">
        <f>SUM(F878:L878)</f>
        <v>40000</v>
      </c>
      <c r="F878" s="101"/>
      <c r="G878" s="87"/>
      <c r="H878" s="87"/>
      <c r="I878" s="87"/>
      <c r="J878" s="94">
        <v>40000</v>
      </c>
      <c r="K878" s="87"/>
      <c r="L878" s="87"/>
      <c r="M878" s="87"/>
    </row>
    <row r="879" spans="1:13" ht="20.25" customHeight="1">
      <c r="A879" s="87">
        <v>4</v>
      </c>
      <c r="B879" s="99" t="s">
        <v>41</v>
      </c>
      <c r="C879" s="98">
        <v>4002215005490</v>
      </c>
      <c r="D879" s="93" t="s">
        <v>123</v>
      </c>
      <c r="E879" s="94">
        <f t="shared" ref="E879:E890" si="62">SUM(F879:L879)</f>
        <v>40000</v>
      </c>
      <c r="F879" s="95"/>
      <c r="G879" s="97"/>
      <c r="H879" s="87"/>
      <c r="I879" s="87"/>
      <c r="J879" s="94">
        <v>40000</v>
      </c>
      <c r="K879" s="87"/>
      <c r="L879" s="87"/>
      <c r="M879" s="87"/>
    </row>
    <row r="880" spans="1:13" ht="20.25" customHeight="1">
      <c r="A880" s="87">
        <v>5</v>
      </c>
      <c r="B880" s="99" t="s">
        <v>42</v>
      </c>
      <c r="C880" s="98">
        <v>4002215005425</v>
      </c>
      <c r="D880" s="93" t="s">
        <v>123</v>
      </c>
      <c r="E880" s="94">
        <f t="shared" si="62"/>
        <v>40000</v>
      </c>
      <c r="F880" s="95"/>
      <c r="G880" s="87"/>
      <c r="H880" s="87"/>
      <c r="I880" s="87"/>
      <c r="J880" s="94">
        <v>40000</v>
      </c>
      <c r="K880" s="87"/>
      <c r="L880" s="87"/>
      <c r="M880" s="87"/>
    </row>
    <row r="881" spans="1:13" ht="20.25" customHeight="1">
      <c r="A881" s="87">
        <v>6</v>
      </c>
      <c r="B881" s="99" t="s">
        <v>36</v>
      </c>
      <c r="C881" s="98">
        <v>4002215020718</v>
      </c>
      <c r="D881" s="106" t="s">
        <v>133</v>
      </c>
      <c r="E881" s="94">
        <f t="shared" si="62"/>
        <v>40000</v>
      </c>
      <c r="F881" s="104"/>
      <c r="G881" s="87"/>
      <c r="H881" s="87"/>
      <c r="I881" s="87"/>
      <c r="J881" s="94">
        <v>40000</v>
      </c>
      <c r="K881" s="87"/>
      <c r="L881" s="87"/>
      <c r="M881" s="87"/>
    </row>
    <row r="882" spans="1:13" ht="20.25" customHeight="1">
      <c r="A882" s="87">
        <v>7</v>
      </c>
      <c r="B882" s="96" t="s">
        <v>93</v>
      </c>
      <c r="C882" s="98">
        <v>4002205007265</v>
      </c>
      <c r="D882" s="93" t="s">
        <v>123</v>
      </c>
      <c r="E882" s="94">
        <f t="shared" si="62"/>
        <v>40000</v>
      </c>
      <c r="F882" s="104"/>
      <c r="G882" s="87"/>
      <c r="H882" s="87"/>
      <c r="I882" s="87"/>
      <c r="J882" s="94">
        <v>40000</v>
      </c>
      <c r="K882" s="87"/>
      <c r="L882" s="87"/>
      <c r="M882" s="87"/>
    </row>
    <row r="883" spans="1:13" ht="20.25" customHeight="1">
      <c r="A883" s="87">
        <v>8</v>
      </c>
      <c r="B883" s="96" t="s">
        <v>127</v>
      </c>
      <c r="C883" s="92">
        <v>4002215013793</v>
      </c>
      <c r="D883" s="93" t="s">
        <v>123</v>
      </c>
      <c r="E883" s="94">
        <f t="shared" si="62"/>
        <v>40000</v>
      </c>
      <c r="F883" s="104"/>
      <c r="G883" s="87"/>
      <c r="H883" s="87"/>
      <c r="I883" s="87"/>
      <c r="J883" s="94">
        <v>40000</v>
      </c>
      <c r="K883" s="87"/>
      <c r="L883" s="87"/>
      <c r="M883" s="87"/>
    </row>
    <row r="884" spans="1:13" ht="20.25" customHeight="1">
      <c r="A884" s="87">
        <v>9</v>
      </c>
      <c r="B884" s="96" t="s">
        <v>38</v>
      </c>
      <c r="C884" s="98">
        <v>4002215013895</v>
      </c>
      <c r="D884" s="93" t="s">
        <v>123</v>
      </c>
      <c r="E884" s="94">
        <f t="shared" si="62"/>
        <v>40000</v>
      </c>
      <c r="F884" s="104"/>
      <c r="G884" s="87"/>
      <c r="H884" s="87"/>
      <c r="I884" s="87"/>
      <c r="J884" s="94">
        <v>40000</v>
      </c>
      <c r="K884" s="87"/>
      <c r="L884" s="87"/>
      <c r="M884" s="87"/>
    </row>
    <row r="885" spans="1:13" ht="20.25" customHeight="1">
      <c r="A885" s="87">
        <v>10</v>
      </c>
      <c r="B885" s="96" t="s">
        <v>58</v>
      </c>
      <c r="C885" s="98">
        <v>4002205100941</v>
      </c>
      <c r="D885" s="93" t="s">
        <v>123</v>
      </c>
      <c r="E885" s="94">
        <f t="shared" si="62"/>
        <v>40000</v>
      </c>
      <c r="F885" s="104"/>
      <c r="G885" s="87"/>
      <c r="H885" s="87"/>
      <c r="I885" s="87"/>
      <c r="J885" s="94">
        <v>40000</v>
      </c>
      <c r="K885" s="87"/>
      <c r="L885" s="87"/>
      <c r="M885" s="87"/>
    </row>
    <row r="886" spans="1:13" ht="20.25" customHeight="1">
      <c r="A886" s="87">
        <v>11</v>
      </c>
      <c r="B886" s="96" t="s">
        <v>51</v>
      </c>
      <c r="C886" s="100">
        <v>4002205034012</v>
      </c>
      <c r="D886" s="93" t="s">
        <v>123</v>
      </c>
      <c r="E886" s="94">
        <f t="shared" si="62"/>
        <v>40000</v>
      </c>
      <c r="F886" s="104"/>
      <c r="G886" s="87"/>
      <c r="H886" s="87"/>
      <c r="I886" s="87"/>
      <c r="J886" s="94">
        <v>40000</v>
      </c>
      <c r="K886" s="87"/>
      <c r="L886" s="87"/>
      <c r="M886" s="87"/>
    </row>
    <row r="887" spans="1:13" ht="20.25" customHeight="1">
      <c r="A887" s="87">
        <v>12</v>
      </c>
      <c r="B887" s="96" t="s">
        <v>40</v>
      </c>
      <c r="C887" s="98">
        <v>4002205008006</v>
      </c>
      <c r="D887" s="93" t="s">
        <v>123</v>
      </c>
      <c r="E887" s="94">
        <f t="shared" si="62"/>
        <v>40000</v>
      </c>
      <c r="F887" s="104"/>
      <c r="G887" s="87"/>
      <c r="H887" s="87"/>
      <c r="I887" s="87"/>
      <c r="J887" s="94">
        <v>40000</v>
      </c>
      <c r="K887" s="87"/>
      <c r="L887" s="87"/>
      <c r="M887" s="87"/>
    </row>
    <row r="888" spans="1:13" ht="20.25" customHeight="1">
      <c r="A888" s="87">
        <v>13</v>
      </c>
      <c r="B888" s="96" t="s">
        <v>32</v>
      </c>
      <c r="C888" s="92">
        <v>4002205007706</v>
      </c>
      <c r="D888" s="93" t="s">
        <v>123</v>
      </c>
      <c r="E888" s="94">
        <f t="shared" si="62"/>
        <v>40000</v>
      </c>
      <c r="F888" s="104"/>
      <c r="G888" s="87"/>
      <c r="H888" s="87"/>
      <c r="I888" s="87"/>
      <c r="J888" s="94">
        <v>40000</v>
      </c>
      <c r="K888" s="87"/>
      <c r="L888" s="87"/>
      <c r="M888" s="87"/>
    </row>
    <row r="889" spans="1:13" ht="20.25" customHeight="1">
      <c r="A889" s="87">
        <v>14</v>
      </c>
      <c r="B889" s="96" t="s">
        <v>124</v>
      </c>
      <c r="C889" s="92">
        <v>4002205007577</v>
      </c>
      <c r="D889" s="93" t="s">
        <v>123</v>
      </c>
      <c r="E889" s="94">
        <f t="shared" si="62"/>
        <v>40000</v>
      </c>
      <c r="F889" s="104"/>
      <c r="G889" s="87"/>
      <c r="H889" s="87"/>
      <c r="I889" s="87"/>
      <c r="J889" s="94">
        <v>40000</v>
      </c>
      <c r="K889" s="87"/>
      <c r="L889" s="87"/>
      <c r="M889" s="87"/>
    </row>
    <row r="890" spans="1:13" ht="20.25" customHeight="1">
      <c r="A890" s="87">
        <v>15</v>
      </c>
      <c r="B890" s="96" t="s">
        <v>59</v>
      </c>
      <c r="C890" s="92">
        <v>4002215018587</v>
      </c>
      <c r="D890" s="93" t="s">
        <v>123</v>
      </c>
      <c r="E890" s="94">
        <f t="shared" si="62"/>
        <v>40000</v>
      </c>
      <c r="F890" s="104"/>
      <c r="G890" s="87"/>
      <c r="H890" s="87"/>
      <c r="I890" s="87"/>
      <c r="J890" s="94">
        <v>40000</v>
      </c>
      <c r="K890" s="87"/>
      <c r="L890" s="87"/>
      <c r="M890" s="87"/>
    </row>
    <row r="891" spans="1:13" ht="20.25" customHeight="1">
      <c r="A891" s="1" t="s">
        <v>100</v>
      </c>
      <c r="C891" s="179" t="s">
        <v>356</v>
      </c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</row>
    <row r="892" spans="1:13" ht="21.75" customHeight="1">
      <c r="A892" s="1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</row>
    <row r="893" spans="1:13" ht="21.75" customHeight="1">
      <c r="A893" s="1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</row>
    <row r="894" spans="1:13" ht="21.75" customHeight="1">
      <c r="A894" s="1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</row>
    <row r="895" spans="1:13" ht="15.75">
      <c r="A895" s="111" t="s">
        <v>138</v>
      </c>
      <c r="B895" s="111"/>
      <c r="C895" s="111"/>
      <c r="D895" s="111"/>
      <c r="E895" s="111"/>
      <c r="F895" s="111"/>
      <c r="G895" s="111"/>
      <c r="H895" s="241" t="s">
        <v>339</v>
      </c>
      <c r="I895" s="241"/>
      <c r="J895" s="241"/>
      <c r="K895" s="241"/>
      <c r="L895" s="241"/>
      <c r="M895" s="241"/>
    </row>
    <row r="896" spans="1:13" ht="15.75">
      <c r="A896" s="82"/>
      <c r="B896" s="82"/>
      <c r="C896" s="239" t="s">
        <v>142</v>
      </c>
      <c r="D896" s="239"/>
      <c r="E896" s="239" t="s">
        <v>79</v>
      </c>
      <c r="F896" s="239"/>
      <c r="G896" s="239"/>
      <c r="H896" s="239" t="s">
        <v>143</v>
      </c>
      <c r="I896" s="239"/>
      <c r="J896" s="239"/>
      <c r="K896" s="239"/>
      <c r="L896" s="239"/>
      <c r="M896" s="239"/>
    </row>
    <row r="897" spans="1:13">
      <c r="A897" s="82"/>
      <c r="B897" s="82"/>
      <c r="C897" s="242" t="s">
        <v>144</v>
      </c>
      <c r="D897" s="242"/>
      <c r="E897" s="242" t="s">
        <v>145</v>
      </c>
      <c r="F897" s="242"/>
      <c r="G897" s="242"/>
      <c r="H897" s="242" t="s">
        <v>146</v>
      </c>
      <c r="I897" s="242"/>
      <c r="J897" s="242"/>
      <c r="K897" s="242"/>
      <c r="L897" s="242"/>
      <c r="M897" s="242"/>
    </row>
    <row r="898" spans="1:13">
      <c r="A898" s="82"/>
      <c r="B898" s="82"/>
      <c r="C898" s="198"/>
      <c r="D898" s="198"/>
      <c r="E898" s="198"/>
      <c r="F898" s="198"/>
      <c r="G898" s="198"/>
      <c r="H898" s="198"/>
      <c r="I898" s="198"/>
      <c r="J898" s="198"/>
      <c r="K898" s="198"/>
      <c r="L898" s="198"/>
      <c r="M898" s="198"/>
    </row>
    <row r="899" spans="1:13" ht="24.75" customHeight="1">
      <c r="A899" s="82"/>
      <c r="B899" s="82"/>
      <c r="C899" s="198"/>
      <c r="D899" s="198"/>
      <c r="E899" s="198"/>
      <c r="F899" s="198"/>
      <c r="G899" s="198"/>
      <c r="H899" s="198"/>
      <c r="I899" s="198"/>
      <c r="J899" s="198"/>
      <c r="K899" s="198"/>
      <c r="L899" s="198"/>
      <c r="M899" s="198"/>
    </row>
    <row r="900" spans="1:13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</row>
    <row r="901" spans="1:13" ht="15.75">
      <c r="A901" s="82"/>
      <c r="B901" s="82"/>
      <c r="C901" s="239" t="s">
        <v>59</v>
      </c>
      <c r="D901" s="239"/>
      <c r="E901" s="239" t="s">
        <v>59</v>
      </c>
      <c r="F901" s="239"/>
      <c r="G901" s="239"/>
      <c r="H901" s="239" t="s">
        <v>60</v>
      </c>
      <c r="I901" s="239"/>
      <c r="J901" s="239"/>
      <c r="K901" s="239"/>
      <c r="L901" s="239"/>
      <c r="M901" s="239"/>
    </row>
    <row r="902" spans="1:13" ht="22.5" customHeight="1">
      <c r="A902" s="240" t="s">
        <v>147</v>
      </c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</row>
    <row r="903" spans="1:13">
      <c r="A903" s="82"/>
      <c r="B903" s="82"/>
      <c r="C903" s="82"/>
      <c r="D903" s="82"/>
      <c r="E903" s="82"/>
      <c r="F903" s="82"/>
      <c r="G903" s="241" t="s">
        <v>157</v>
      </c>
      <c r="H903" s="241"/>
      <c r="I903" s="241"/>
      <c r="J903" s="241"/>
      <c r="K903" s="241"/>
      <c r="L903" s="241"/>
      <c r="M903" s="241"/>
    </row>
    <row r="904" spans="1:13" ht="15.75">
      <c r="A904" s="82"/>
      <c r="B904" s="240" t="s">
        <v>148</v>
      </c>
      <c r="C904" s="240"/>
      <c r="D904" s="240"/>
      <c r="E904" s="240"/>
      <c r="F904" s="240"/>
      <c r="G904" s="239" t="s">
        <v>149</v>
      </c>
      <c r="H904" s="239"/>
      <c r="I904" s="239"/>
      <c r="J904" s="239"/>
      <c r="K904" s="239"/>
      <c r="L904" s="239"/>
      <c r="M904" s="239"/>
    </row>
    <row r="905" spans="1:13" ht="15.75">
      <c r="A905" s="82"/>
      <c r="B905" s="200"/>
      <c r="C905" s="200"/>
      <c r="D905" s="200"/>
      <c r="E905" s="200"/>
      <c r="F905" s="200"/>
      <c r="G905" s="199"/>
      <c r="H905" s="199"/>
      <c r="I905" s="199"/>
      <c r="J905" s="199"/>
      <c r="K905" s="199"/>
      <c r="L905" s="199"/>
      <c r="M905" s="199"/>
    </row>
    <row r="917" spans="1:13" ht="18.75">
      <c r="A917" s="253" t="s">
        <v>102</v>
      </c>
      <c r="B917" s="253"/>
      <c r="C917" s="253"/>
      <c r="D917" s="253"/>
      <c r="E917" s="253"/>
      <c r="F917" s="253"/>
      <c r="G917" s="253"/>
      <c r="H917" s="253"/>
      <c r="I917" s="253"/>
      <c r="J917" s="253"/>
      <c r="K917" s="242" t="s">
        <v>103</v>
      </c>
      <c r="L917" s="242"/>
      <c r="M917" s="81"/>
    </row>
    <row r="918" spans="1:13" ht="18.75">
      <c r="A918" s="254" t="s">
        <v>359</v>
      </c>
      <c r="B918" s="254"/>
      <c r="C918" s="254"/>
      <c r="D918" s="254"/>
      <c r="E918" s="254"/>
      <c r="F918" s="254"/>
      <c r="G918" s="254"/>
      <c r="H918" s="254"/>
      <c r="I918" s="254"/>
      <c r="J918" s="254"/>
      <c r="K918" s="255" t="s">
        <v>215</v>
      </c>
      <c r="L918" s="255"/>
      <c r="M918" s="82"/>
    </row>
    <row r="919" spans="1:13" ht="18.75">
      <c r="A919" s="206"/>
      <c r="B919" s="206"/>
      <c r="C919" s="254" t="s">
        <v>104</v>
      </c>
      <c r="D919" s="254"/>
      <c r="E919" s="254"/>
      <c r="F919" s="254"/>
      <c r="G919" s="254"/>
      <c r="H919" s="254"/>
      <c r="I919" s="254"/>
      <c r="J919" s="206"/>
      <c r="K919" s="206"/>
      <c r="L919" s="206"/>
      <c r="M919" s="82"/>
    </row>
    <row r="920" spans="1:13" ht="16.5">
      <c r="A920" s="256" t="s">
        <v>105</v>
      </c>
      <c r="B920" s="256"/>
      <c r="C920" s="256"/>
      <c r="D920" s="256"/>
      <c r="E920" s="256"/>
      <c r="F920" s="256"/>
      <c r="G920" s="256"/>
      <c r="H920" s="256"/>
      <c r="I920" s="256"/>
      <c r="J920" s="256"/>
      <c r="K920" s="256"/>
      <c r="L920" s="256"/>
      <c r="M920" s="82"/>
    </row>
    <row r="921" spans="1:13" ht="16.5">
      <c r="A921" s="256" t="s">
        <v>106</v>
      </c>
      <c r="B921" s="256"/>
      <c r="C921" s="256"/>
      <c r="D921" s="256"/>
      <c r="E921" s="256"/>
      <c r="F921" s="256"/>
      <c r="G921" s="256"/>
      <c r="H921" s="256"/>
      <c r="I921" s="256"/>
      <c r="J921" s="256"/>
      <c r="K921" s="256"/>
      <c r="L921" s="256"/>
      <c r="M921" s="82"/>
    </row>
    <row r="922" spans="1:13" ht="16.5">
      <c r="A922" s="256" t="s">
        <v>107</v>
      </c>
      <c r="B922" s="256"/>
      <c r="C922" s="256"/>
      <c r="D922" s="256"/>
      <c r="E922" s="256"/>
      <c r="F922" s="256"/>
      <c r="G922" s="256"/>
      <c r="H922" s="256"/>
      <c r="I922" s="256"/>
      <c r="J922" s="256"/>
      <c r="K922" s="256"/>
      <c r="L922" s="256"/>
      <c r="M922" s="82"/>
    </row>
    <row r="923" spans="1:13" ht="15.75">
      <c r="A923" s="257" t="s">
        <v>360</v>
      </c>
      <c r="B923" s="257"/>
      <c r="C923" s="257"/>
      <c r="D923" s="257"/>
      <c r="E923" s="257"/>
      <c r="F923" s="257"/>
      <c r="G923" s="257"/>
      <c r="H923" s="257"/>
      <c r="I923" s="257"/>
      <c r="J923" s="257"/>
      <c r="K923" s="257"/>
      <c r="L923" s="257"/>
      <c r="M923" s="82"/>
    </row>
    <row r="924" spans="1:13">
      <c r="A924" s="245" t="s">
        <v>0</v>
      </c>
      <c r="B924" s="247" t="s">
        <v>108</v>
      </c>
      <c r="C924" s="249" t="s">
        <v>109</v>
      </c>
      <c r="D924" s="249"/>
      <c r="E924" s="247" t="s">
        <v>110</v>
      </c>
      <c r="F924" s="250" t="s">
        <v>111</v>
      </c>
      <c r="G924" s="251"/>
      <c r="H924" s="251"/>
      <c r="I924" s="251"/>
      <c r="J924" s="251"/>
      <c r="K924" s="251"/>
      <c r="L924" s="252"/>
      <c r="M924" s="247" t="s">
        <v>57</v>
      </c>
    </row>
    <row r="925" spans="1:13" ht="42">
      <c r="A925" s="246"/>
      <c r="B925" s="248"/>
      <c r="C925" s="84" t="s">
        <v>112</v>
      </c>
      <c r="D925" s="84" t="s">
        <v>113</v>
      </c>
      <c r="E925" s="248"/>
      <c r="F925" s="84" t="s">
        <v>114</v>
      </c>
      <c r="G925" s="85" t="s">
        <v>115</v>
      </c>
      <c r="H925" s="85" t="s">
        <v>116</v>
      </c>
      <c r="I925" s="84" t="s">
        <v>117</v>
      </c>
      <c r="J925" s="84" t="s">
        <v>118</v>
      </c>
      <c r="K925" s="84" t="s">
        <v>119</v>
      </c>
      <c r="L925" s="84" t="s">
        <v>120</v>
      </c>
      <c r="M925" s="248"/>
    </row>
    <row r="926" spans="1:13">
      <c r="A926" s="86">
        <v>1</v>
      </c>
      <c r="B926" s="86">
        <v>2</v>
      </c>
      <c r="C926" s="86">
        <v>3</v>
      </c>
      <c r="D926" s="86"/>
      <c r="E926" s="86">
        <v>4</v>
      </c>
      <c r="F926" s="86">
        <v>5</v>
      </c>
      <c r="G926" s="86">
        <v>6</v>
      </c>
      <c r="H926" s="86">
        <v>7</v>
      </c>
      <c r="I926" s="86">
        <v>8</v>
      </c>
      <c r="J926" s="86">
        <v>9</v>
      </c>
      <c r="K926" s="86">
        <v>10</v>
      </c>
      <c r="L926" s="86">
        <v>11</v>
      </c>
      <c r="M926" s="86">
        <v>12</v>
      </c>
    </row>
    <row r="927" spans="1:13">
      <c r="A927" s="87"/>
      <c r="B927" s="88" t="s">
        <v>110</v>
      </c>
      <c r="C927" s="87"/>
      <c r="D927" s="87"/>
      <c r="E927" s="89">
        <f>E928+E965+E967</f>
        <v>310596962.32664996</v>
      </c>
      <c r="F927" s="89">
        <f>F928+F965+F967</f>
        <v>306873762.32664996</v>
      </c>
      <c r="G927" s="89">
        <f t="shared" ref="G927:J927" si="63">G928+G965+G967</f>
        <v>3723200</v>
      </c>
      <c r="H927" s="89">
        <f t="shared" si="63"/>
        <v>0</v>
      </c>
      <c r="I927" s="89">
        <f t="shared" si="63"/>
        <v>0</v>
      </c>
      <c r="J927" s="89">
        <f t="shared" si="63"/>
        <v>0</v>
      </c>
      <c r="K927" s="87"/>
      <c r="L927" s="87"/>
      <c r="M927" s="87"/>
    </row>
    <row r="928" spans="1:13">
      <c r="A928" s="90" t="s">
        <v>121</v>
      </c>
      <c r="B928" s="88" t="s">
        <v>122</v>
      </c>
      <c r="C928" s="87"/>
      <c r="D928" s="87"/>
      <c r="E928" s="89">
        <f>SUM(E929:E964)</f>
        <v>306873762.32664996</v>
      </c>
      <c r="F928" s="89">
        <f>SUM(F929:F964)</f>
        <v>306873762.32664996</v>
      </c>
      <c r="G928" s="89">
        <f t="shared" ref="G928:J928" si="64">SUM(G929:G964)</f>
        <v>0</v>
      </c>
      <c r="H928" s="89">
        <f t="shared" si="64"/>
        <v>0</v>
      </c>
      <c r="I928" s="89">
        <f t="shared" si="64"/>
        <v>0</v>
      </c>
      <c r="J928" s="89">
        <f t="shared" si="64"/>
        <v>0</v>
      </c>
      <c r="K928" s="87"/>
      <c r="L928" s="87"/>
      <c r="M928" s="87"/>
    </row>
    <row r="929" spans="1:13" ht="15.75">
      <c r="A929" s="87">
        <v>1</v>
      </c>
      <c r="B929" s="91" t="s">
        <v>60</v>
      </c>
      <c r="C929" s="92">
        <v>4002205008058</v>
      </c>
      <c r="D929" s="93" t="s">
        <v>123</v>
      </c>
      <c r="E929" s="94">
        <f>SUM(F929:L929)</f>
        <v>11379448.859999999</v>
      </c>
      <c r="F929" s="95">
        <v>11379448.859999999</v>
      </c>
      <c r="G929" s="87"/>
      <c r="H929" s="87"/>
      <c r="I929" s="87"/>
      <c r="J929" s="94"/>
      <c r="K929" s="87"/>
      <c r="L929" s="87"/>
      <c r="M929" s="87"/>
    </row>
    <row r="930" spans="1:13" ht="15.75">
      <c r="A930" s="87">
        <v>2</v>
      </c>
      <c r="B930" s="96" t="s">
        <v>28</v>
      </c>
      <c r="C930" s="92">
        <v>4002215013939</v>
      </c>
      <c r="D930" s="93" t="s">
        <v>123</v>
      </c>
      <c r="E930" s="94">
        <f t="shared" ref="E930:E939" si="65">SUM(F930:L930)</f>
        <v>11335386.907800004</v>
      </c>
      <c r="F930" s="95">
        <v>11335386.907800004</v>
      </c>
      <c r="G930" s="87"/>
      <c r="H930" s="87"/>
      <c r="I930" s="87"/>
      <c r="J930" s="94"/>
      <c r="K930" s="87"/>
      <c r="L930" s="87"/>
      <c r="M930" s="87"/>
    </row>
    <row r="931" spans="1:13" ht="15.75">
      <c r="A931" s="87">
        <v>3</v>
      </c>
      <c r="B931" s="96" t="s">
        <v>30</v>
      </c>
      <c r="C931" s="92">
        <v>4002205008353</v>
      </c>
      <c r="D931" s="93" t="s">
        <v>123</v>
      </c>
      <c r="E931" s="94">
        <f t="shared" si="65"/>
        <v>11593931.41725</v>
      </c>
      <c r="F931" s="95">
        <v>11593931.41725</v>
      </c>
      <c r="G931" s="87"/>
      <c r="H931" s="87"/>
      <c r="I931" s="87"/>
      <c r="J931" s="94"/>
      <c r="K931" s="87"/>
      <c r="L931" s="87"/>
      <c r="M931" s="93"/>
    </row>
    <row r="932" spans="1:13" ht="15.75">
      <c r="A932" s="87">
        <v>4</v>
      </c>
      <c r="B932" s="96" t="s">
        <v>32</v>
      </c>
      <c r="C932" s="92">
        <v>4002205007706</v>
      </c>
      <c r="D932" s="93" t="s">
        <v>123</v>
      </c>
      <c r="E932" s="94">
        <f t="shared" si="65"/>
        <v>11331769.828500003</v>
      </c>
      <c r="F932" s="95">
        <v>11331769.828500003</v>
      </c>
      <c r="G932" s="97"/>
      <c r="H932" s="87"/>
      <c r="I932" s="87"/>
      <c r="J932" s="94"/>
      <c r="K932" s="87"/>
      <c r="L932" s="87"/>
      <c r="M932" s="87"/>
    </row>
    <row r="933" spans="1:13" ht="15.75">
      <c r="A933" s="87">
        <v>5</v>
      </c>
      <c r="B933" s="96" t="s">
        <v>124</v>
      </c>
      <c r="C933" s="92">
        <v>4002205007577</v>
      </c>
      <c r="D933" s="93" t="s">
        <v>123</v>
      </c>
      <c r="E933" s="94">
        <f t="shared" si="65"/>
        <v>11834568.153100003</v>
      </c>
      <c r="F933" s="95">
        <v>11834568.153100003</v>
      </c>
      <c r="G933" s="87"/>
      <c r="H933" s="87"/>
      <c r="I933" s="87"/>
      <c r="J933" s="94"/>
      <c r="K933" s="87"/>
      <c r="L933" s="87"/>
      <c r="M933" s="87"/>
    </row>
    <row r="934" spans="1:13" ht="15.75">
      <c r="A934" s="87">
        <v>6</v>
      </c>
      <c r="B934" s="96" t="s">
        <v>84</v>
      </c>
      <c r="C934" s="92">
        <v>4002205099727</v>
      </c>
      <c r="D934" s="93" t="s">
        <v>123</v>
      </c>
      <c r="E934" s="94">
        <f t="shared" si="65"/>
        <v>10846659.130000001</v>
      </c>
      <c r="F934" s="95">
        <v>10846659.130000001</v>
      </c>
      <c r="G934" s="87"/>
      <c r="H934" s="87"/>
      <c r="I934" s="87"/>
      <c r="J934" s="94"/>
      <c r="K934" s="87"/>
      <c r="L934" s="87"/>
      <c r="M934" s="93"/>
    </row>
    <row r="935" spans="1:13" ht="15.75">
      <c r="A935" s="87">
        <v>7</v>
      </c>
      <c r="B935" s="96" t="s">
        <v>31</v>
      </c>
      <c r="C935" s="98">
        <v>4002215005454</v>
      </c>
      <c r="D935" s="93" t="s">
        <v>123</v>
      </c>
      <c r="E935" s="94">
        <f t="shared" si="65"/>
        <v>10467575.564999999</v>
      </c>
      <c r="F935" s="95">
        <v>10467575.564999999</v>
      </c>
      <c r="G935" s="87"/>
      <c r="H935" s="87"/>
      <c r="I935" s="87"/>
      <c r="J935" s="94"/>
      <c r="K935" s="87"/>
      <c r="L935" s="87"/>
      <c r="M935" s="87"/>
    </row>
    <row r="936" spans="1:13" ht="15.75">
      <c r="A936" s="87">
        <v>8</v>
      </c>
      <c r="B936" s="96" t="s">
        <v>125</v>
      </c>
      <c r="C936" s="92">
        <v>4002215005369</v>
      </c>
      <c r="D936" s="93" t="s">
        <v>123</v>
      </c>
      <c r="E936" s="94">
        <f t="shared" si="65"/>
        <v>10394587.17</v>
      </c>
      <c r="F936" s="95">
        <v>10394587.17</v>
      </c>
      <c r="G936" s="87"/>
      <c r="H936" s="87"/>
      <c r="I936" s="87"/>
      <c r="J936" s="94"/>
      <c r="K936" s="87"/>
      <c r="L936" s="87"/>
      <c r="M936" s="93"/>
    </row>
    <row r="937" spans="1:13" ht="15.75">
      <c r="A937" s="87">
        <v>9</v>
      </c>
      <c r="B937" s="96" t="s">
        <v>33</v>
      </c>
      <c r="C937" s="98">
        <v>4002215013980</v>
      </c>
      <c r="D937" s="93" t="s">
        <v>123</v>
      </c>
      <c r="E937" s="94">
        <f t="shared" si="65"/>
        <v>10058565.350000001</v>
      </c>
      <c r="F937" s="95">
        <v>10058565.350000001</v>
      </c>
      <c r="G937" s="97"/>
      <c r="H937" s="87"/>
      <c r="I937" s="87"/>
      <c r="J937" s="94"/>
      <c r="K937" s="87"/>
      <c r="L937" s="87"/>
      <c r="M937" s="93"/>
    </row>
    <row r="938" spans="1:13" ht="15.75">
      <c r="A938" s="87">
        <v>10</v>
      </c>
      <c r="B938" s="96" t="s">
        <v>34</v>
      </c>
      <c r="C938" s="92">
        <v>4002215014006</v>
      </c>
      <c r="D938" s="93" t="s">
        <v>123</v>
      </c>
      <c r="E938" s="94">
        <f t="shared" si="65"/>
        <v>8786553.8400000017</v>
      </c>
      <c r="F938" s="95">
        <v>8786553.8400000017</v>
      </c>
      <c r="G938" s="87"/>
      <c r="H938" s="87"/>
      <c r="I938" s="87"/>
      <c r="J938" s="94"/>
      <c r="K938" s="87"/>
      <c r="L938" s="87"/>
      <c r="M938" s="93"/>
    </row>
    <row r="939" spans="1:13" ht="15.75">
      <c r="A939" s="87">
        <v>11</v>
      </c>
      <c r="B939" s="99" t="s">
        <v>36</v>
      </c>
      <c r="C939" s="98">
        <v>4002215020718</v>
      </c>
      <c r="D939" s="93" t="s">
        <v>123</v>
      </c>
      <c r="E939" s="94">
        <f t="shared" si="65"/>
        <v>9253615.1999999993</v>
      </c>
      <c r="F939" s="95">
        <v>9253615.1999999993</v>
      </c>
      <c r="G939" s="87"/>
      <c r="H939" s="87"/>
      <c r="I939" s="87"/>
      <c r="J939" s="94"/>
      <c r="K939" s="87"/>
      <c r="L939" s="87"/>
      <c r="M939" s="87"/>
    </row>
    <row r="940" spans="1:13" ht="15.75">
      <c r="A940" s="87">
        <v>12</v>
      </c>
      <c r="B940" s="96" t="s">
        <v>59</v>
      </c>
      <c r="C940" s="92">
        <v>4002215018587</v>
      </c>
      <c r="D940" s="93" t="s">
        <v>123</v>
      </c>
      <c r="E940" s="94">
        <f>SUM(F940:L940)</f>
        <v>6109968.4999999991</v>
      </c>
      <c r="F940" s="95">
        <v>6109968.4999999991</v>
      </c>
      <c r="G940" s="97"/>
      <c r="H940" s="87"/>
      <c r="I940" s="87"/>
      <c r="J940" s="94"/>
      <c r="K940" s="87"/>
      <c r="L940" s="87"/>
      <c r="M940" s="87"/>
    </row>
    <row r="941" spans="1:13" ht="15.75">
      <c r="A941" s="87">
        <v>13</v>
      </c>
      <c r="B941" s="96" t="s">
        <v>126</v>
      </c>
      <c r="C941" s="98">
        <v>4002215013945</v>
      </c>
      <c r="D941" s="93" t="s">
        <v>123</v>
      </c>
      <c r="E941" s="94">
        <f t="shared" ref="E941:E945" si="66">SUM(F941:L941)</f>
        <v>9519759</v>
      </c>
      <c r="F941" s="95">
        <v>9519759</v>
      </c>
      <c r="G941" s="87"/>
      <c r="H941" s="87"/>
      <c r="I941" s="87"/>
      <c r="J941" s="94"/>
      <c r="K941" s="87"/>
      <c r="L941" s="87"/>
      <c r="M941" s="87"/>
    </row>
    <row r="942" spans="1:13" ht="15.75">
      <c r="A942" s="87">
        <v>14</v>
      </c>
      <c r="B942" s="96" t="s">
        <v>37</v>
      </c>
      <c r="C942" s="98">
        <v>4002205015211</v>
      </c>
      <c r="D942" s="93" t="s">
        <v>123</v>
      </c>
      <c r="E942" s="94">
        <f t="shared" si="66"/>
        <v>8844163.1999999993</v>
      </c>
      <c r="F942" s="95">
        <v>8844163.1999999993</v>
      </c>
      <c r="G942" s="87"/>
      <c r="H942" s="87"/>
      <c r="I942" s="87"/>
      <c r="J942" s="94"/>
      <c r="K942" s="87"/>
      <c r="L942" s="87"/>
      <c r="M942" s="87"/>
    </row>
    <row r="943" spans="1:13" ht="15.75">
      <c r="A943" s="87">
        <v>15</v>
      </c>
      <c r="B943" s="96" t="s">
        <v>127</v>
      </c>
      <c r="C943" s="92">
        <v>4002215013793</v>
      </c>
      <c r="D943" s="93" t="s">
        <v>123</v>
      </c>
      <c r="E943" s="94">
        <f t="shared" si="66"/>
        <v>8844163.1999999993</v>
      </c>
      <c r="F943" s="95">
        <v>8844163.1999999993</v>
      </c>
      <c r="G943" s="87"/>
      <c r="H943" s="87"/>
      <c r="I943" s="87"/>
      <c r="J943" s="94"/>
      <c r="K943" s="87"/>
      <c r="L943" s="87"/>
      <c r="M943" s="87"/>
    </row>
    <row r="944" spans="1:13" ht="15.75">
      <c r="A944" s="87">
        <v>16</v>
      </c>
      <c r="B944" s="96" t="s">
        <v>38</v>
      </c>
      <c r="C944" s="98">
        <v>4002215013895</v>
      </c>
      <c r="D944" s="93" t="s">
        <v>123</v>
      </c>
      <c r="E944" s="94">
        <f t="shared" si="66"/>
        <v>8728944.4800000004</v>
      </c>
      <c r="F944" s="95">
        <v>8728944.4800000004</v>
      </c>
      <c r="G944" s="87"/>
      <c r="H944" s="87"/>
      <c r="I944" s="87"/>
      <c r="J944" s="94"/>
      <c r="K944" s="87"/>
      <c r="L944" s="87"/>
      <c r="M944" s="87"/>
    </row>
    <row r="945" spans="1:13" ht="15.75">
      <c r="A945" s="87">
        <v>17</v>
      </c>
      <c r="B945" s="96" t="s">
        <v>128</v>
      </c>
      <c r="C945" s="98">
        <v>4002215005483</v>
      </c>
      <c r="D945" s="93" t="s">
        <v>123</v>
      </c>
      <c r="E945" s="94">
        <f t="shared" si="66"/>
        <v>8728944.4800000004</v>
      </c>
      <c r="F945" s="95">
        <v>8728944.4800000004</v>
      </c>
      <c r="G945" s="87"/>
      <c r="H945" s="87"/>
      <c r="I945" s="87"/>
      <c r="J945" s="94"/>
      <c r="K945" s="87"/>
      <c r="L945" s="87"/>
      <c r="M945" s="87"/>
    </row>
    <row r="946" spans="1:13" ht="15.75">
      <c r="A946" s="87">
        <v>18</v>
      </c>
      <c r="B946" s="96" t="s">
        <v>91</v>
      </c>
      <c r="C946" s="100">
        <v>4001205046288</v>
      </c>
      <c r="D946" s="93" t="s">
        <v>129</v>
      </c>
      <c r="E946" s="94">
        <f>SUM(F946:L946)</f>
        <v>9826848</v>
      </c>
      <c r="F946" s="101">
        <v>9826848</v>
      </c>
      <c r="G946" s="87"/>
      <c r="H946" s="87"/>
      <c r="I946" s="87"/>
      <c r="J946" s="94"/>
      <c r="K946" s="87"/>
      <c r="L946" s="87"/>
      <c r="M946" s="87"/>
    </row>
    <row r="947" spans="1:13" ht="15.75">
      <c r="A947" s="87">
        <v>19</v>
      </c>
      <c r="B947" s="99" t="s">
        <v>39</v>
      </c>
      <c r="C947" s="98">
        <v>4002205007627</v>
      </c>
      <c r="D947" s="93" t="s">
        <v>123</v>
      </c>
      <c r="E947" s="94">
        <f t="shared" ref="E947:E964" si="67">SUM(F947:L947)</f>
        <v>8959381.9200000018</v>
      </c>
      <c r="F947" s="95">
        <v>8959381.9200000018</v>
      </c>
      <c r="G947" s="87"/>
      <c r="H947" s="87"/>
      <c r="I947" s="87"/>
      <c r="J947" s="94"/>
      <c r="K947" s="87"/>
      <c r="L947" s="87"/>
      <c r="M947" s="93"/>
    </row>
    <row r="948" spans="1:13" ht="15.75">
      <c r="A948" s="87">
        <v>20</v>
      </c>
      <c r="B948" s="96" t="s">
        <v>40</v>
      </c>
      <c r="C948" s="98">
        <v>4002205008006</v>
      </c>
      <c r="D948" s="93" t="s">
        <v>123</v>
      </c>
      <c r="E948" s="94">
        <f t="shared" si="67"/>
        <v>8304620.7900000019</v>
      </c>
      <c r="F948" s="95">
        <v>8304620.7900000019</v>
      </c>
      <c r="G948" s="87"/>
      <c r="H948" s="87"/>
      <c r="I948" s="87"/>
      <c r="J948" s="94"/>
      <c r="K948" s="87"/>
      <c r="L948" s="87"/>
      <c r="M948" s="87"/>
    </row>
    <row r="949" spans="1:13" ht="15.75">
      <c r="A949" s="87">
        <v>21</v>
      </c>
      <c r="B949" s="96" t="s">
        <v>130</v>
      </c>
      <c r="C949" s="102">
        <v>4002215013808</v>
      </c>
      <c r="D949" s="93" t="s">
        <v>123</v>
      </c>
      <c r="E949" s="94">
        <f t="shared" si="67"/>
        <v>8008941.4649999999</v>
      </c>
      <c r="F949" s="95">
        <v>8008941.4649999999</v>
      </c>
      <c r="G949" s="87"/>
      <c r="H949" s="87"/>
      <c r="I949" s="87"/>
      <c r="J949" s="94"/>
      <c r="K949" s="87"/>
      <c r="L949" s="87"/>
      <c r="M949" s="87"/>
    </row>
    <row r="950" spans="1:13" ht="15.75">
      <c r="A950" s="87">
        <v>22</v>
      </c>
      <c r="B950" s="99" t="s">
        <v>41</v>
      </c>
      <c r="C950" s="98">
        <v>4002215005490</v>
      </c>
      <c r="D950" s="93" t="s">
        <v>123</v>
      </c>
      <c r="E950" s="94">
        <f t="shared" si="67"/>
        <v>8008941.4649999999</v>
      </c>
      <c r="F950" s="95">
        <v>8008941.4649999999</v>
      </c>
      <c r="G950" s="97"/>
      <c r="H950" s="87"/>
      <c r="I950" s="87"/>
      <c r="J950" s="94"/>
      <c r="K950" s="87"/>
      <c r="L950" s="87"/>
      <c r="M950" s="87"/>
    </row>
    <row r="951" spans="1:13" ht="15.75">
      <c r="A951" s="87">
        <v>23</v>
      </c>
      <c r="B951" s="99" t="s">
        <v>42</v>
      </c>
      <c r="C951" s="98">
        <v>4002215005425</v>
      </c>
      <c r="D951" s="93" t="s">
        <v>123</v>
      </c>
      <c r="E951" s="94">
        <f t="shared" si="67"/>
        <v>8820335.1199999992</v>
      </c>
      <c r="F951" s="95">
        <v>8820335.1199999992</v>
      </c>
      <c r="G951" s="87"/>
      <c r="H951" s="87"/>
      <c r="I951" s="87"/>
      <c r="J951" s="94"/>
      <c r="K951" s="87"/>
      <c r="L951" s="87"/>
      <c r="M951" s="87"/>
    </row>
    <row r="952" spans="1:13">
      <c r="A952" s="87">
        <v>24</v>
      </c>
      <c r="B952" s="87" t="s">
        <v>131</v>
      </c>
      <c r="C952" s="92">
        <v>4002215005280</v>
      </c>
      <c r="D952" s="93" t="s">
        <v>123</v>
      </c>
      <c r="E952" s="94">
        <f t="shared" si="67"/>
        <v>7955732.8200000003</v>
      </c>
      <c r="F952" s="95">
        <v>7955732.8200000003</v>
      </c>
      <c r="G952" s="87"/>
      <c r="H952" s="87"/>
      <c r="I952" s="87"/>
      <c r="J952" s="94"/>
      <c r="K952" s="87"/>
      <c r="L952" s="87"/>
      <c r="M952" s="87"/>
    </row>
    <row r="953" spans="1:13" ht="15.75">
      <c r="A953" s="87">
        <v>25</v>
      </c>
      <c r="B953" s="96" t="s">
        <v>43</v>
      </c>
      <c r="C953" s="92">
        <v>4002215024731</v>
      </c>
      <c r="D953" s="93" t="s">
        <v>123</v>
      </c>
      <c r="E953" s="94">
        <f t="shared" si="67"/>
        <v>7955732.8200000003</v>
      </c>
      <c r="F953" s="95">
        <v>7955732.8200000003</v>
      </c>
      <c r="G953" s="87"/>
      <c r="H953" s="87"/>
      <c r="I953" s="87"/>
      <c r="J953" s="94"/>
      <c r="K953" s="87"/>
      <c r="L953" s="87"/>
      <c r="M953" s="87"/>
    </row>
    <row r="954" spans="1:13" ht="15.75">
      <c r="A954" s="87">
        <v>26</v>
      </c>
      <c r="B954" s="96" t="s">
        <v>58</v>
      </c>
      <c r="C954" s="98">
        <v>4002205100941</v>
      </c>
      <c r="D954" s="93" t="s">
        <v>123</v>
      </c>
      <c r="E954" s="94">
        <f t="shared" si="67"/>
        <v>7102508</v>
      </c>
      <c r="F954" s="95">
        <v>7102508</v>
      </c>
      <c r="G954" s="87"/>
      <c r="H954" s="87"/>
      <c r="I954" s="87"/>
      <c r="J954" s="94"/>
      <c r="K954" s="87"/>
      <c r="L954" s="87"/>
      <c r="M954" s="87"/>
    </row>
    <row r="955" spans="1:13" ht="15.75">
      <c r="A955" s="87">
        <v>27</v>
      </c>
      <c r="B955" s="96" t="s">
        <v>44</v>
      </c>
      <c r="C955" s="92">
        <v>4002205008330</v>
      </c>
      <c r="D955" s="93" t="s">
        <v>123</v>
      </c>
      <c r="E955" s="94">
        <f t="shared" si="67"/>
        <v>7902524.1749999998</v>
      </c>
      <c r="F955" s="95">
        <v>7902524.1749999998</v>
      </c>
      <c r="G955" s="97"/>
      <c r="H955" s="87"/>
      <c r="I955" s="87"/>
      <c r="J955" s="94"/>
      <c r="K955" s="87"/>
      <c r="L955" s="87"/>
      <c r="M955" s="87"/>
    </row>
    <row r="956" spans="1:13">
      <c r="A956" s="87">
        <v>28</v>
      </c>
      <c r="B956" s="87" t="s">
        <v>132</v>
      </c>
      <c r="C956" s="100">
        <v>4002215005323</v>
      </c>
      <c r="D956" s="93" t="s">
        <v>123</v>
      </c>
      <c r="E956" s="94">
        <f t="shared" si="67"/>
        <v>4614083</v>
      </c>
      <c r="F956" s="104">
        <v>4614083</v>
      </c>
      <c r="G956" s="87"/>
      <c r="H956" s="87"/>
      <c r="I956" s="87"/>
      <c r="J956" s="94"/>
      <c r="K956" s="87"/>
      <c r="L956" s="87"/>
      <c r="M956" s="120"/>
    </row>
    <row r="957" spans="1:13" ht="15.75">
      <c r="A957" s="87">
        <v>29</v>
      </c>
      <c r="B957" s="99" t="s">
        <v>46</v>
      </c>
      <c r="C957" s="105">
        <v>4002215005510</v>
      </c>
      <c r="D957" s="93" t="s">
        <v>123</v>
      </c>
      <c r="E957" s="94">
        <f t="shared" si="67"/>
        <v>7868988</v>
      </c>
      <c r="F957" s="104">
        <v>7868988</v>
      </c>
      <c r="G957" s="87"/>
      <c r="H957" s="87"/>
      <c r="I957" s="87"/>
      <c r="J957" s="94"/>
      <c r="K957" s="87"/>
      <c r="L957" s="87"/>
      <c r="M957" s="87"/>
    </row>
    <row r="958" spans="1:13" ht="15.75">
      <c r="A958" s="87">
        <v>30</v>
      </c>
      <c r="B958" s="96" t="s">
        <v>47</v>
      </c>
      <c r="C958" s="98">
        <v>4002215013889</v>
      </c>
      <c r="D958" s="93" t="s">
        <v>123</v>
      </c>
      <c r="E958" s="94">
        <f t="shared" si="67"/>
        <v>7955732.8200000003</v>
      </c>
      <c r="F958" s="104">
        <v>7955732.8200000003</v>
      </c>
      <c r="G958" s="87"/>
      <c r="H958" s="87"/>
      <c r="I958" s="87"/>
      <c r="J958" s="94"/>
      <c r="K958" s="87"/>
      <c r="L958" s="87"/>
      <c r="M958" s="93"/>
    </row>
    <row r="959" spans="1:13" ht="15.75">
      <c r="A959" s="87">
        <v>31</v>
      </c>
      <c r="B959" s="96" t="s">
        <v>48</v>
      </c>
      <c r="C959" s="92">
        <v>4002215005346</v>
      </c>
      <c r="D959" s="93" t="s">
        <v>123</v>
      </c>
      <c r="E959" s="94">
        <f t="shared" si="67"/>
        <v>7849316</v>
      </c>
      <c r="F959" s="104">
        <v>7849316</v>
      </c>
      <c r="G959" s="87"/>
      <c r="H959" s="87"/>
      <c r="I959" s="87"/>
      <c r="J959" s="94"/>
      <c r="K959" s="87"/>
      <c r="L959" s="87"/>
      <c r="M959" s="87"/>
    </row>
    <row r="960" spans="1:13" ht="15.75">
      <c r="A960" s="87">
        <v>32</v>
      </c>
      <c r="B960" s="96" t="s">
        <v>92</v>
      </c>
      <c r="C960" s="98">
        <v>4002215021438</v>
      </c>
      <c r="D960" s="93" t="s">
        <v>123</v>
      </c>
      <c r="E960" s="94">
        <f t="shared" si="67"/>
        <v>6373303.6500000004</v>
      </c>
      <c r="F960" s="104">
        <v>6373303.6500000004</v>
      </c>
      <c r="G960" s="87"/>
      <c r="H960" s="87"/>
      <c r="I960" s="87"/>
      <c r="J960" s="94"/>
      <c r="K960" s="87"/>
      <c r="L960" s="87"/>
      <c r="M960" s="87"/>
    </row>
    <row r="961" spans="1:15" ht="15.75">
      <c r="A961" s="87">
        <v>33</v>
      </c>
      <c r="B961" s="96" t="s">
        <v>93</v>
      </c>
      <c r="C961" s="98">
        <v>4002205007265</v>
      </c>
      <c r="D961" s="93" t="s">
        <v>123</v>
      </c>
      <c r="E961" s="94">
        <f t="shared" si="67"/>
        <v>7102508</v>
      </c>
      <c r="F961" s="104">
        <v>7102508</v>
      </c>
      <c r="G961" s="87"/>
      <c r="H961" s="87"/>
      <c r="I961" s="87"/>
      <c r="J961" s="94"/>
      <c r="K961" s="87"/>
      <c r="L961" s="87"/>
      <c r="M961" s="87"/>
    </row>
    <row r="962" spans="1:15" ht="22.5">
      <c r="A962" s="87">
        <v>34</v>
      </c>
      <c r="B962" s="96" t="s">
        <v>95</v>
      </c>
      <c r="C962" s="100">
        <v>4009205061263</v>
      </c>
      <c r="D962" s="106" t="s">
        <v>133</v>
      </c>
      <c r="E962" s="104">
        <f t="shared" si="67"/>
        <v>5341650</v>
      </c>
      <c r="F962" s="104">
        <v>5341650</v>
      </c>
      <c r="G962" s="87"/>
      <c r="H962" s="87"/>
      <c r="I962" s="87"/>
      <c r="J962" s="94"/>
      <c r="K962" s="87"/>
      <c r="L962" s="87"/>
      <c r="M962" s="87"/>
      <c r="O962" s="8">
        <f>F729-F956</f>
        <v>200032.5</v>
      </c>
    </row>
    <row r="963" spans="1:15" ht="15.75">
      <c r="A963" s="87">
        <v>35</v>
      </c>
      <c r="B963" s="96" t="s">
        <v>49</v>
      </c>
      <c r="C963" s="100">
        <v>4002215005330</v>
      </c>
      <c r="D963" s="93" t="s">
        <v>123</v>
      </c>
      <c r="E963" s="94">
        <f t="shared" si="67"/>
        <v>4752057</v>
      </c>
      <c r="F963" s="104">
        <v>4752057</v>
      </c>
      <c r="G963" s="87"/>
      <c r="H963" s="87"/>
      <c r="I963" s="87"/>
      <c r="J963" s="94"/>
      <c r="K963" s="87"/>
      <c r="L963" s="87"/>
      <c r="M963" s="87"/>
    </row>
    <row r="964" spans="1:15" ht="15.75">
      <c r="A964" s="87">
        <v>36</v>
      </c>
      <c r="B964" s="96" t="s">
        <v>50</v>
      </c>
      <c r="C964" s="100">
        <v>4002215013758</v>
      </c>
      <c r="D964" s="93" t="s">
        <v>123</v>
      </c>
      <c r="E964" s="94">
        <f t="shared" si="67"/>
        <v>4111953</v>
      </c>
      <c r="F964" s="104">
        <v>4111953</v>
      </c>
      <c r="G964" s="87"/>
      <c r="H964" s="87"/>
      <c r="I964" s="87"/>
      <c r="J964" s="94"/>
      <c r="K964" s="87"/>
      <c r="L964" s="87"/>
      <c r="M964" s="87"/>
    </row>
    <row r="965" spans="1:15">
      <c r="A965" s="90" t="s">
        <v>134</v>
      </c>
      <c r="B965" s="88" t="s">
        <v>135</v>
      </c>
      <c r="C965" s="107"/>
      <c r="D965" s="103"/>
      <c r="E965" s="89">
        <f>E966</f>
        <v>3723200</v>
      </c>
      <c r="F965" s="89"/>
      <c r="G965" s="89">
        <f>G966</f>
        <v>3723200</v>
      </c>
      <c r="H965" s="87"/>
      <c r="I965" s="87"/>
      <c r="J965" s="89"/>
      <c r="K965" s="87"/>
      <c r="L965" s="87"/>
      <c r="M965" s="87"/>
    </row>
    <row r="966" spans="1:15" ht="15.75">
      <c r="A966" s="87">
        <v>1</v>
      </c>
      <c r="B966" s="96" t="s">
        <v>51</v>
      </c>
      <c r="C966" s="100">
        <v>4002205034012</v>
      </c>
      <c r="D966" s="93" t="s">
        <v>123</v>
      </c>
      <c r="E966" s="108">
        <f>F966+G966+J966</f>
        <v>3723200</v>
      </c>
      <c r="F966" s="104"/>
      <c r="G966" s="104">
        <f>3508400+214800</f>
        <v>3723200</v>
      </c>
      <c r="H966" s="87"/>
      <c r="I966" s="87"/>
      <c r="J966" s="94"/>
      <c r="K966" s="87"/>
      <c r="L966" s="87"/>
      <c r="M966" s="87"/>
    </row>
    <row r="967" spans="1:15">
      <c r="A967" s="88" t="s">
        <v>136</v>
      </c>
      <c r="B967" s="109" t="s">
        <v>137</v>
      </c>
      <c r="C967" s="110"/>
      <c r="D967" s="87"/>
      <c r="E967" s="88">
        <v>0</v>
      </c>
      <c r="F967" s="88">
        <v>0</v>
      </c>
      <c r="G967" s="87"/>
      <c r="H967" s="87"/>
      <c r="I967" s="87"/>
      <c r="J967" s="94"/>
      <c r="K967" s="87"/>
      <c r="L967" s="87"/>
      <c r="M967" s="87"/>
    </row>
    <row r="968" spans="1:15">
      <c r="A968" s="1" t="s">
        <v>100</v>
      </c>
      <c r="C968" s="179" t="s">
        <v>365</v>
      </c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</row>
    <row r="969" spans="1:15" ht="15.75">
      <c r="A969" s="111" t="s">
        <v>138</v>
      </c>
      <c r="B969" s="111"/>
      <c r="C969" s="111"/>
      <c r="D969" s="111"/>
      <c r="E969" s="111"/>
      <c r="F969" s="111"/>
      <c r="G969" s="239"/>
      <c r="H969" s="239"/>
      <c r="I969" s="239"/>
      <c r="J969" s="239"/>
      <c r="K969" s="239"/>
      <c r="L969" s="239"/>
      <c r="M969" s="239"/>
    </row>
    <row r="970" spans="1:15">
      <c r="A970" s="112" t="s">
        <v>337</v>
      </c>
      <c r="B970" s="112"/>
      <c r="C970" s="113">
        <f>C746</f>
        <v>310796994.78090012</v>
      </c>
      <c r="D970" s="154" t="s">
        <v>338</v>
      </c>
      <c r="E970" s="154"/>
      <c r="F970" s="154"/>
      <c r="G970" s="244"/>
      <c r="H970" s="244"/>
      <c r="I970" s="244"/>
      <c r="J970" s="244"/>
      <c r="K970" s="244"/>
      <c r="L970" s="244"/>
      <c r="M970" s="244"/>
    </row>
    <row r="971" spans="1:15">
      <c r="A971" s="242" t="s">
        <v>139</v>
      </c>
      <c r="B971" s="242"/>
      <c r="C971" s="8">
        <v>0</v>
      </c>
      <c r="D971" s="243"/>
      <c r="E971" s="243"/>
      <c r="F971" s="243"/>
      <c r="G971" s="244"/>
      <c r="H971" s="244"/>
      <c r="I971" s="244"/>
      <c r="J971" s="244"/>
      <c r="K971" s="244"/>
      <c r="L971" s="244"/>
      <c r="M971" s="244"/>
    </row>
    <row r="972" spans="1:15">
      <c r="A972" s="242" t="s">
        <v>141</v>
      </c>
      <c r="B972" s="242"/>
      <c r="C972" s="8">
        <v>200033</v>
      </c>
      <c r="D972" s="243" t="s">
        <v>361</v>
      </c>
      <c r="E972" s="243"/>
      <c r="F972" s="243"/>
      <c r="G972" s="244"/>
      <c r="H972" s="244"/>
      <c r="I972" s="244"/>
      <c r="J972" s="244"/>
      <c r="K972" s="244"/>
      <c r="L972" s="244"/>
      <c r="M972" s="244"/>
    </row>
    <row r="973" spans="1:15">
      <c r="A973" s="112" t="s">
        <v>362</v>
      </c>
      <c r="B973" s="112"/>
      <c r="C973" s="119">
        <f>C970+C971-C972</f>
        <v>310596961.78090012</v>
      </c>
      <c r="D973" s="154" t="s">
        <v>363</v>
      </c>
      <c r="E973" s="154"/>
      <c r="F973" s="154"/>
      <c r="G973" s="244"/>
      <c r="H973" s="244"/>
      <c r="I973" s="244"/>
      <c r="J973" s="244"/>
      <c r="K973" s="244"/>
      <c r="L973" s="244"/>
      <c r="M973" s="244"/>
    </row>
    <row r="974" spans="1:15">
      <c r="A974" s="207"/>
      <c r="B974" s="207"/>
      <c r="C974" s="207"/>
      <c r="D974" s="207"/>
      <c r="E974" s="115"/>
      <c r="F974" s="82"/>
      <c r="G974" s="82"/>
      <c r="H974" s="241" t="s">
        <v>364</v>
      </c>
      <c r="I974" s="241"/>
      <c r="J974" s="241"/>
      <c r="K974" s="241"/>
      <c r="L974" s="241"/>
      <c r="M974" s="241"/>
    </row>
    <row r="975" spans="1:15" ht="15.75">
      <c r="A975" s="82"/>
      <c r="B975" s="82"/>
      <c r="C975" s="239" t="s">
        <v>142</v>
      </c>
      <c r="D975" s="239"/>
      <c r="E975" s="239" t="s">
        <v>79</v>
      </c>
      <c r="F975" s="239"/>
      <c r="G975" s="239"/>
      <c r="H975" s="239" t="s">
        <v>143</v>
      </c>
      <c r="I975" s="239"/>
      <c r="J975" s="239"/>
      <c r="K975" s="239"/>
      <c r="L975" s="239"/>
      <c r="M975" s="239"/>
    </row>
    <row r="976" spans="1:15">
      <c r="A976" s="82"/>
      <c r="B976" s="82"/>
      <c r="C976" s="242" t="s">
        <v>144</v>
      </c>
      <c r="D976" s="242"/>
      <c r="E976" s="242" t="s">
        <v>145</v>
      </c>
      <c r="F976" s="242"/>
      <c r="G976" s="242"/>
      <c r="H976" s="242" t="s">
        <v>146</v>
      </c>
      <c r="I976" s="242"/>
      <c r="J976" s="242"/>
      <c r="K976" s="242"/>
      <c r="L976" s="242"/>
      <c r="M976" s="242"/>
    </row>
    <row r="977" spans="1:13">
      <c r="A977" s="82"/>
      <c r="B977" s="82"/>
      <c r="C977" s="203"/>
      <c r="D977" s="203"/>
      <c r="E977" s="203"/>
      <c r="F977" s="203"/>
      <c r="G977" s="203"/>
      <c r="H977" s="203"/>
      <c r="I977" s="203"/>
      <c r="J977" s="203"/>
      <c r="K977" s="203"/>
      <c r="L977" s="203"/>
      <c r="M977" s="203"/>
    </row>
    <row r="978" spans="1:13">
      <c r="A978" s="82"/>
      <c r="B978" s="82"/>
      <c r="C978" s="203"/>
      <c r="D978" s="203"/>
      <c r="E978" s="203"/>
      <c r="F978" s="203"/>
      <c r="G978" s="203"/>
      <c r="H978" s="203"/>
      <c r="I978" s="203"/>
      <c r="J978" s="203"/>
      <c r="K978" s="203"/>
      <c r="L978" s="203"/>
      <c r="M978" s="203"/>
    </row>
    <row r="979" spans="1:13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</row>
    <row r="980" spans="1:13" ht="15.75">
      <c r="A980" s="82"/>
      <c r="B980" s="82"/>
      <c r="C980" s="239" t="s">
        <v>59</v>
      </c>
      <c r="D980" s="239"/>
      <c r="E980" s="239" t="s">
        <v>59</v>
      </c>
      <c r="F980" s="239"/>
      <c r="G980" s="239"/>
      <c r="H980" s="239" t="s">
        <v>60</v>
      </c>
      <c r="I980" s="239"/>
      <c r="J980" s="239"/>
      <c r="K980" s="239"/>
      <c r="L980" s="239"/>
      <c r="M980" s="239"/>
    </row>
    <row r="981" spans="1:13">
      <c r="A981" s="240" t="s">
        <v>147</v>
      </c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</row>
    <row r="982" spans="1:13">
      <c r="A982" s="82"/>
      <c r="B982" s="82"/>
      <c r="C982" s="82"/>
      <c r="D982" s="82"/>
      <c r="E982" s="82"/>
      <c r="F982" s="82"/>
      <c r="G982" s="241" t="s">
        <v>157</v>
      </c>
      <c r="H982" s="241"/>
      <c r="I982" s="241"/>
      <c r="J982" s="241"/>
      <c r="K982" s="241"/>
      <c r="L982" s="241"/>
      <c r="M982" s="241"/>
    </row>
    <row r="983" spans="1:13" ht="15.75">
      <c r="A983" s="82"/>
      <c r="B983" s="240" t="s">
        <v>148</v>
      </c>
      <c r="C983" s="240"/>
      <c r="D983" s="240"/>
      <c r="E983" s="240"/>
      <c r="F983" s="240"/>
      <c r="G983" s="239" t="s">
        <v>149</v>
      </c>
      <c r="H983" s="239"/>
      <c r="I983" s="239"/>
      <c r="J983" s="239"/>
      <c r="K983" s="239"/>
      <c r="L983" s="239"/>
      <c r="M983" s="239"/>
    </row>
    <row r="984" spans="1:13" ht="15.75">
      <c r="A984" s="82"/>
      <c r="B984" s="205"/>
      <c r="C984" s="205"/>
      <c r="D984" s="205"/>
      <c r="E984" s="205"/>
      <c r="F984" s="205"/>
      <c r="G984" s="204"/>
      <c r="H984" s="204"/>
      <c r="I984" s="204"/>
      <c r="J984" s="204"/>
      <c r="K984" s="204"/>
      <c r="L984" s="204"/>
      <c r="M984" s="204"/>
    </row>
  </sheetData>
  <mergeCells count="515">
    <mergeCell ref="C818:D818"/>
    <mergeCell ref="E818:G818"/>
    <mergeCell ref="H818:M818"/>
    <mergeCell ref="A819:M819"/>
    <mergeCell ref="G820:M820"/>
    <mergeCell ref="B821:F821"/>
    <mergeCell ref="G821:M821"/>
    <mergeCell ref="H812:M812"/>
    <mergeCell ref="C813:D813"/>
    <mergeCell ref="E813:G813"/>
    <mergeCell ref="H813:M813"/>
    <mergeCell ref="C814:D814"/>
    <mergeCell ref="E814:G814"/>
    <mergeCell ref="H814:M814"/>
    <mergeCell ref="A766:A767"/>
    <mergeCell ref="B766:B767"/>
    <mergeCell ref="C766:D766"/>
    <mergeCell ref="E766:E767"/>
    <mergeCell ref="F766:L766"/>
    <mergeCell ref="M766:M767"/>
    <mergeCell ref="G811:M811"/>
    <mergeCell ref="A759:J759"/>
    <mergeCell ref="K759:L759"/>
    <mergeCell ref="A760:J760"/>
    <mergeCell ref="K760:L760"/>
    <mergeCell ref="C761:I761"/>
    <mergeCell ref="A762:L762"/>
    <mergeCell ref="A763:L763"/>
    <mergeCell ref="A764:L764"/>
    <mergeCell ref="A765:L765"/>
    <mergeCell ref="C435:D435"/>
    <mergeCell ref="E435:G435"/>
    <mergeCell ref="H435:M435"/>
    <mergeCell ref="A436:M436"/>
    <mergeCell ref="G437:M437"/>
    <mergeCell ref="B438:F438"/>
    <mergeCell ref="G438:M438"/>
    <mergeCell ref="G424:M424"/>
    <mergeCell ref="G425:M425"/>
    <mergeCell ref="A425:B425"/>
    <mergeCell ref="H429:M429"/>
    <mergeCell ref="C430:D430"/>
    <mergeCell ref="E430:G430"/>
    <mergeCell ref="H430:M430"/>
    <mergeCell ref="C431:D431"/>
    <mergeCell ref="E431:G431"/>
    <mergeCell ref="H431:M431"/>
    <mergeCell ref="G426:M426"/>
    <mergeCell ref="G427:M427"/>
    <mergeCell ref="G428:M428"/>
    <mergeCell ref="A377:A378"/>
    <mergeCell ref="B377:B378"/>
    <mergeCell ref="C377:D377"/>
    <mergeCell ref="E377:E378"/>
    <mergeCell ref="F377:L377"/>
    <mergeCell ref="M377:M378"/>
    <mergeCell ref="D423:G423"/>
    <mergeCell ref="A424:B424"/>
    <mergeCell ref="C421:T421"/>
    <mergeCell ref="H423:J423"/>
    <mergeCell ref="A370:J370"/>
    <mergeCell ref="K370:L370"/>
    <mergeCell ref="A371:J371"/>
    <mergeCell ref="K371:L371"/>
    <mergeCell ref="C372:I372"/>
    <mergeCell ref="A373:L373"/>
    <mergeCell ref="A374:L374"/>
    <mergeCell ref="A375:L375"/>
    <mergeCell ref="A376:L376"/>
    <mergeCell ref="A220:M220"/>
    <mergeCell ref="G221:M221"/>
    <mergeCell ref="B222:F222"/>
    <mergeCell ref="G222:M222"/>
    <mergeCell ref="C214:D214"/>
    <mergeCell ref="E214:G214"/>
    <mergeCell ref="H214:M214"/>
    <mergeCell ref="C219:D219"/>
    <mergeCell ref="E219:G219"/>
    <mergeCell ref="H219:M219"/>
    <mergeCell ref="H212:M212"/>
    <mergeCell ref="C213:D213"/>
    <mergeCell ref="E213:G213"/>
    <mergeCell ref="H213:M213"/>
    <mergeCell ref="M147:M148"/>
    <mergeCell ref="A191:M191"/>
    <mergeCell ref="D193:G193"/>
    <mergeCell ref="A194:B194"/>
    <mergeCell ref="D197:L197"/>
    <mergeCell ref="D198:L198"/>
    <mergeCell ref="D199:L199"/>
    <mergeCell ref="D200:L200"/>
    <mergeCell ref="D201:L201"/>
    <mergeCell ref="D202:L202"/>
    <mergeCell ref="D203:L203"/>
    <mergeCell ref="D204:L204"/>
    <mergeCell ref="D205:L205"/>
    <mergeCell ref="D206:L206"/>
    <mergeCell ref="D207:L207"/>
    <mergeCell ref="D208:L208"/>
    <mergeCell ref="A197:C197"/>
    <mergeCell ref="D209:L209"/>
    <mergeCell ref="D210:L210"/>
    <mergeCell ref="D211:L211"/>
    <mergeCell ref="A145:L145"/>
    <mergeCell ref="A146:L146"/>
    <mergeCell ref="A147:A148"/>
    <mergeCell ref="B147:B148"/>
    <mergeCell ref="C147:D147"/>
    <mergeCell ref="E147:E148"/>
    <mergeCell ref="F147:L147"/>
    <mergeCell ref="A195:B195"/>
    <mergeCell ref="D196:G196"/>
    <mergeCell ref="H196:M196"/>
    <mergeCell ref="A143:L143"/>
    <mergeCell ref="A144:L144"/>
    <mergeCell ref="F77:L77"/>
    <mergeCell ref="A134:M134"/>
    <mergeCell ref="G135:M135"/>
    <mergeCell ref="B136:F136"/>
    <mergeCell ref="G136:M136"/>
    <mergeCell ref="D124:F124"/>
    <mergeCell ref="C129:D129"/>
    <mergeCell ref="E129:G129"/>
    <mergeCell ref="H129:M129"/>
    <mergeCell ref="C133:D133"/>
    <mergeCell ref="E133:G133"/>
    <mergeCell ref="H133:M133"/>
    <mergeCell ref="D126:G126"/>
    <mergeCell ref="H126:M126"/>
    <mergeCell ref="H127:M127"/>
    <mergeCell ref="C128:D128"/>
    <mergeCell ref="E128:G128"/>
    <mergeCell ref="A124:B124"/>
    <mergeCell ref="C142:I142"/>
    <mergeCell ref="A125:B125"/>
    <mergeCell ref="A140:J140"/>
    <mergeCell ref="K140:L140"/>
    <mergeCell ref="A76:L76"/>
    <mergeCell ref="M77:M78"/>
    <mergeCell ref="A121:M121"/>
    <mergeCell ref="D123:G123"/>
    <mergeCell ref="A77:A78"/>
    <mergeCell ref="B77:B78"/>
    <mergeCell ref="C77:D77"/>
    <mergeCell ref="E77:E78"/>
    <mergeCell ref="A56:B56"/>
    <mergeCell ref="B67:F67"/>
    <mergeCell ref="G67:M67"/>
    <mergeCell ref="H58:M58"/>
    <mergeCell ref="C59:D59"/>
    <mergeCell ref="E59:G59"/>
    <mergeCell ref="H59:M59"/>
    <mergeCell ref="C60:D60"/>
    <mergeCell ref="E60:G60"/>
    <mergeCell ref="H60:M60"/>
    <mergeCell ref="C64:D64"/>
    <mergeCell ref="E64:G64"/>
    <mergeCell ref="H64:M64"/>
    <mergeCell ref="A5:L5"/>
    <mergeCell ref="A6:L6"/>
    <mergeCell ref="A7:L7"/>
    <mergeCell ref="A8:A9"/>
    <mergeCell ref="B8:B9"/>
    <mergeCell ref="C8:D8"/>
    <mergeCell ref="E8:E9"/>
    <mergeCell ref="F8:L8"/>
    <mergeCell ref="A75:L75"/>
    <mergeCell ref="A141:J141"/>
    <mergeCell ref="K141:L141"/>
    <mergeCell ref="H128:M128"/>
    <mergeCell ref="A1:J1"/>
    <mergeCell ref="K1:L1"/>
    <mergeCell ref="A2:J2"/>
    <mergeCell ref="K2:L2"/>
    <mergeCell ref="C3:I3"/>
    <mergeCell ref="M8:M9"/>
    <mergeCell ref="C72:I72"/>
    <mergeCell ref="A73:L73"/>
    <mergeCell ref="A74:L74"/>
    <mergeCell ref="A70:J70"/>
    <mergeCell ref="K70:L70"/>
    <mergeCell ref="A71:J71"/>
    <mergeCell ref="K71:L71"/>
    <mergeCell ref="D57:G57"/>
    <mergeCell ref="H57:M57"/>
    <mergeCell ref="A65:M65"/>
    <mergeCell ref="G66:M66"/>
    <mergeCell ref="A52:M52"/>
    <mergeCell ref="D54:G54"/>
    <mergeCell ref="A55:B55"/>
    <mergeCell ref="A4:L4"/>
    <mergeCell ref="A246:J246"/>
    <mergeCell ref="K246:L246"/>
    <mergeCell ref="A247:J247"/>
    <mergeCell ref="K247:L247"/>
    <mergeCell ref="C248:I248"/>
    <mergeCell ref="A249:L249"/>
    <mergeCell ref="A250:L250"/>
    <mergeCell ref="A251:L251"/>
    <mergeCell ref="A252:L252"/>
    <mergeCell ref="A285:M285"/>
    <mergeCell ref="G286:M286"/>
    <mergeCell ref="B287:F287"/>
    <mergeCell ref="G287:M287"/>
    <mergeCell ref="H279:M279"/>
    <mergeCell ref="A253:A254"/>
    <mergeCell ref="B253:B254"/>
    <mergeCell ref="C253:D253"/>
    <mergeCell ref="E253:E254"/>
    <mergeCell ref="F253:L253"/>
    <mergeCell ref="M253:M254"/>
    <mergeCell ref="A275:O275"/>
    <mergeCell ref="H277:M277"/>
    <mergeCell ref="C278:D278"/>
    <mergeCell ref="E278:G278"/>
    <mergeCell ref="H278:M278"/>
    <mergeCell ref="C279:D279"/>
    <mergeCell ref="E279:G279"/>
    <mergeCell ref="C284:D284"/>
    <mergeCell ref="E284:G284"/>
    <mergeCell ref="H284:M284"/>
    <mergeCell ref="A300:J300"/>
    <mergeCell ref="K300:L300"/>
    <mergeCell ref="A301:J301"/>
    <mergeCell ref="K301:L301"/>
    <mergeCell ref="C302:I302"/>
    <mergeCell ref="A303:L303"/>
    <mergeCell ref="A304:L304"/>
    <mergeCell ref="A305:L305"/>
    <mergeCell ref="A306:L306"/>
    <mergeCell ref="A355:B355"/>
    <mergeCell ref="D356:G356"/>
    <mergeCell ref="H356:M356"/>
    <mergeCell ref="A307:A308"/>
    <mergeCell ref="B307:B308"/>
    <mergeCell ref="C307:D307"/>
    <mergeCell ref="E307:E308"/>
    <mergeCell ref="F307:L307"/>
    <mergeCell ref="M307:M308"/>
    <mergeCell ref="A351:M351"/>
    <mergeCell ref="D353:G353"/>
    <mergeCell ref="A354:B354"/>
    <mergeCell ref="A365:M365"/>
    <mergeCell ref="G366:M366"/>
    <mergeCell ref="B367:F367"/>
    <mergeCell ref="G367:M367"/>
    <mergeCell ref="H357:M357"/>
    <mergeCell ref="C358:D358"/>
    <mergeCell ref="E358:G358"/>
    <mergeCell ref="H358:M358"/>
    <mergeCell ref="C359:D359"/>
    <mergeCell ref="E359:G359"/>
    <mergeCell ref="H359:M359"/>
    <mergeCell ref="C364:D364"/>
    <mergeCell ref="E364:G364"/>
    <mergeCell ref="H364:M364"/>
    <mergeCell ref="A441:J441"/>
    <mergeCell ref="K441:L441"/>
    <mergeCell ref="A442:J442"/>
    <mergeCell ref="K442:L442"/>
    <mergeCell ref="C443:I443"/>
    <mergeCell ref="A444:L444"/>
    <mergeCell ref="A445:L445"/>
    <mergeCell ref="A446:L446"/>
    <mergeCell ref="A447:L447"/>
    <mergeCell ref="A448:A449"/>
    <mergeCell ref="B448:B449"/>
    <mergeCell ref="C448:D448"/>
    <mergeCell ref="E448:E449"/>
    <mergeCell ref="F448:L448"/>
    <mergeCell ref="M448:M449"/>
    <mergeCell ref="C492:T492"/>
    <mergeCell ref="D494:G494"/>
    <mergeCell ref="H494:J494"/>
    <mergeCell ref="A495:B495"/>
    <mergeCell ref="G495:M495"/>
    <mergeCell ref="A496:B496"/>
    <mergeCell ref="G496:M496"/>
    <mergeCell ref="G497:M497"/>
    <mergeCell ref="G498:M498"/>
    <mergeCell ref="G499:M499"/>
    <mergeCell ref="H501:M501"/>
    <mergeCell ref="C502:D502"/>
    <mergeCell ref="E502:G502"/>
    <mergeCell ref="H502:M502"/>
    <mergeCell ref="G500:M500"/>
    <mergeCell ref="D496:F496"/>
    <mergeCell ref="C503:D503"/>
    <mergeCell ref="E503:G503"/>
    <mergeCell ref="H503:M503"/>
    <mergeCell ref="C507:D507"/>
    <mergeCell ref="E507:G507"/>
    <mergeCell ref="H507:M507"/>
    <mergeCell ref="A508:M508"/>
    <mergeCell ref="G509:M509"/>
    <mergeCell ref="B510:F510"/>
    <mergeCell ref="G510:M510"/>
    <mergeCell ref="A513:J513"/>
    <mergeCell ref="K513:L513"/>
    <mergeCell ref="A514:J514"/>
    <mergeCell ref="K514:L514"/>
    <mergeCell ref="C515:I515"/>
    <mergeCell ref="A516:L516"/>
    <mergeCell ref="A517:L517"/>
    <mergeCell ref="A518:L518"/>
    <mergeCell ref="A519:L519"/>
    <mergeCell ref="A520:A521"/>
    <mergeCell ref="B520:B521"/>
    <mergeCell ref="C520:D520"/>
    <mergeCell ref="E520:E521"/>
    <mergeCell ref="F520:L520"/>
    <mergeCell ref="M520:M521"/>
    <mergeCell ref="C564:T564"/>
    <mergeCell ref="D566:G566"/>
    <mergeCell ref="H566:J566"/>
    <mergeCell ref="A577:M577"/>
    <mergeCell ref="G578:M578"/>
    <mergeCell ref="B579:F579"/>
    <mergeCell ref="G579:M579"/>
    <mergeCell ref="D567:F567"/>
    <mergeCell ref="H570:M570"/>
    <mergeCell ref="C571:D571"/>
    <mergeCell ref="E571:G571"/>
    <mergeCell ref="H571:M571"/>
    <mergeCell ref="C572:D572"/>
    <mergeCell ref="E572:G572"/>
    <mergeCell ref="H572:M572"/>
    <mergeCell ref="C576:D576"/>
    <mergeCell ref="E576:G576"/>
    <mergeCell ref="H576:M576"/>
    <mergeCell ref="A567:B567"/>
    <mergeCell ref="G567:M567"/>
    <mergeCell ref="A568:B568"/>
    <mergeCell ref="D568:F568"/>
    <mergeCell ref="G568:M568"/>
    <mergeCell ref="G569:M569"/>
    <mergeCell ref="A585:J585"/>
    <mergeCell ref="K585:L585"/>
    <mergeCell ref="A586:J586"/>
    <mergeCell ref="K586:L586"/>
    <mergeCell ref="C587:I587"/>
    <mergeCell ref="A588:L588"/>
    <mergeCell ref="A589:L589"/>
    <mergeCell ref="A590:L590"/>
    <mergeCell ref="A591:L591"/>
    <mergeCell ref="G647:M647"/>
    <mergeCell ref="G648:M648"/>
    <mergeCell ref="A592:A593"/>
    <mergeCell ref="B592:B593"/>
    <mergeCell ref="C592:D592"/>
    <mergeCell ref="E592:E593"/>
    <mergeCell ref="F592:L592"/>
    <mergeCell ref="M592:M593"/>
    <mergeCell ref="G638:M638"/>
    <mergeCell ref="G637:M637"/>
    <mergeCell ref="A690:J690"/>
    <mergeCell ref="K690:L690"/>
    <mergeCell ref="A691:J691"/>
    <mergeCell ref="K691:L691"/>
    <mergeCell ref="C692:I692"/>
    <mergeCell ref="A693:L693"/>
    <mergeCell ref="A694:L694"/>
    <mergeCell ref="A695:L695"/>
    <mergeCell ref="A639:B639"/>
    <mergeCell ref="D639:F639"/>
    <mergeCell ref="G639:M639"/>
    <mergeCell ref="A640:B640"/>
    <mergeCell ref="D640:F640"/>
    <mergeCell ref="G640:M640"/>
    <mergeCell ref="G641:M641"/>
    <mergeCell ref="H653:M653"/>
    <mergeCell ref="C654:D654"/>
    <mergeCell ref="E654:G654"/>
    <mergeCell ref="H654:M654"/>
    <mergeCell ref="G642:M642"/>
    <mergeCell ref="G643:M643"/>
    <mergeCell ref="G644:M644"/>
    <mergeCell ref="G645:M645"/>
    <mergeCell ref="G646:M646"/>
    <mergeCell ref="C655:D655"/>
    <mergeCell ref="E655:G655"/>
    <mergeCell ref="H655:M655"/>
    <mergeCell ref="C660:D660"/>
    <mergeCell ref="E660:G660"/>
    <mergeCell ref="H660:M660"/>
    <mergeCell ref="A661:M661"/>
    <mergeCell ref="G662:M662"/>
    <mergeCell ref="B663:F663"/>
    <mergeCell ref="G663:M663"/>
    <mergeCell ref="A696:L696"/>
    <mergeCell ref="A697:A698"/>
    <mergeCell ref="B697:B698"/>
    <mergeCell ref="C697:D697"/>
    <mergeCell ref="E697:E698"/>
    <mergeCell ref="F697:L697"/>
    <mergeCell ref="M697:M698"/>
    <mergeCell ref="G742:M742"/>
    <mergeCell ref="G743:M743"/>
    <mergeCell ref="A744:B744"/>
    <mergeCell ref="D744:F744"/>
    <mergeCell ref="G744:M744"/>
    <mergeCell ref="G755:M755"/>
    <mergeCell ref="B756:F756"/>
    <mergeCell ref="G756:M756"/>
    <mergeCell ref="E748:G748"/>
    <mergeCell ref="H748:M748"/>
    <mergeCell ref="C749:D749"/>
    <mergeCell ref="E749:G749"/>
    <mergeCell ref="H749:M749"/>
    <mergeCell ref="C753:D753"/>
    <mergeCell ref="E753:G753"/>
    <mergeCell ref="H753:M753"/>
    <mergeCell ref="A754:M754"/>
    <mergeCell ref="A745:B745"/>
    <mergeCell ref="D745:F745"/>
    <mergeCell ref="G745:M745"/>
    <mergeCell ref="G746:M746"/>
    <mergeCell ref="H747:M747"/>
    <mergeCell ref="C748:D748"/>
    <mergeCell ref="A829:J829"/>
    <mergeCell ref="K829:L829"/>
    <mergeCell ref="A830:J830"/>
    <mergeCell ref="K830:L830"/>
    <mergeCell ref="C831:I831"/>
    <mergeCell ref="A832:L832"/>
    <mergeCell ref="A833:L833"/>
    <mergeCell ref="A834:L834"/>
    <mergeCell ref="A835:L835"/>
    <mergeCell ref="A836:A837"/>
    <mergeCell ref="B836:B837"/>
    <mergeCell ref="C836:D836"/>
    <mergeCell ref="E836:E837"/>
    <mergeCell ref="F836:L836"/>
    <mergeCell ref="M836:M837"/>
    <mergeCell ref="C853:D853"/>
    <mergeCell ref="E853:G853"/>
    <mergeCell ref="H853:M853"/>
    <mergeCell ref="H852:M852"/>
    <mergeCell ref="C854:D854"/>
    <mergeCell ref="E854:G854"/>
    <mergeCell ref="H854:M854"/>
    <mergeCell ref="C858:D858"/>
    <mergeCell ref="E858:G858"/>
    <mergeCell ref="H858:M858"/>
    <mergeCell ref="A859:M859"/>
    <mergeCell ref="G860:M860"/>
    <mergeCell ref="B861:F861"/>
    <mergeCell ref="G861:M861"/>
    <mergeCell ref="A864:J864"/>
    <mergeCell ref="K864:L864"/>
    <mergeCell ref="A865:J865"/>
    <mergeCell ref="K865:L865"/>
    <mergeCell ref="C866:I866"/>
    <mergeCell ref="A867:L867"/>
    <mergeCell ref="A868:L868"/>
    <mergeCell ref="A869:L869"/>
    <mergeCell ref="A870:L870"/>
    <mergeCell ref="A871:A872"/>
    <mergeCell ref="B871:B872"/>
    <mergeCell ref="C871:D871"/>
    <mergeCell ref="E871:E872"/>
    <mergeCell ref="F871:L871"/>
    <mergeCell ref="M871:M872"/>
    <mergeCell ref="H895:M895"/>
    <mergeCell ref="C896:D896"/>
    <mergeCell ref="E896:G896"/>
    <mergeCell ref="H896:M896"/>
    <mergeCell ref="C897:D897"/>
    <mergeCell ref="E897:G897"/>
    <mergeCell ref="H897:M897"/>
    <mergeCell ref="C901:D901"/>
    <mergeCell ref="E901:G901"/>
    <mergeCell ref="H901:M901"/>
    <mergeCell ref="A902:M902"/>
    <mergeCell ref="G903:M903"/>
    <mergeCell ref="B904:F904"/>
    <mergeCell ref="G904:M904"/>
    <mergeCell ref="A917:J917"/>
    <mergeCell ref="K917:L917"/>
    <mergeCell ref="A918:J918"/>
    <mergeCell ref="K918:L918"/>
    <mergeCell ref="C919:I919"/>
    <mergeCell ref="A920:L920"/>
    <mergeCell ref="A921:L921"/>
    <mergeCell ref="A922:L922"/>
    <mergeCell ref="A923:L923"/>
    <mergeCell ref="A924:A925"/>
    <mergeCell ref="B924:B925"/>
    <mergeCell ref="C924:D924"/>
    <mergeCell ref="E924:E925"/>
    <mergeCell ref="F924:L924"/>
    <mergeCell ref="M924:M925"/>
    <mergeCell ref="G969:M969"/>
    <mergeCell ref="G970:M970"/>
    <mergeCell ref="A971:B971"/>
    <mergeCell ref="D971:F971"/>
    <mergeCell ref="G971:M971"/>
    <mergeCell ref="C980:D980"/>
    <mergeCell ref="E980:G980"/>
    <mergeCell ref="H980:M980"/>
    <mergeCell ref="A981:M981"/>
    <mergeCell ref="G982:M982"/>
    <mergeCell ref="B983:F983"/>
    <mergeCell ref="G983:M983"/>
    <mergeCell ref="A972:B972"/>
    <mergeCell ref="D972:F972"/>
    <mergeCell ref="G972:M972"/>
    <mergeCell ref="G973:M973"/>
    <mergeCell ref="H974:M974"/>
    <mergeCell ref="C975:D975"/>
    <mergeCell ref="E975:G975"/>
    <mergeCell ref="H975:M975"/>
    <mergeCell ref="C976:D976"/>
    <mergeCell ref="E976:G976"/>
    <mergeCell ref="H976:M976"/>
  </mergeCells>
  <pageMargins left="0.7" right="0.17" top="0.25" bottom="0.24" header="0.25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3"/>
  <sheetViews>
    <sheetView topLeftCell="A567" workbookViewId="0">
      <selection activeCell="J575" sqref="J575"/>
    </sheetView>
  </sheetViews>
  <sheetFormatPr defaultRowHeight="15"/>
  <cols>
    <col min="1" max="1" width="3.5703125" customWidth="1"/>
    <col min="2" max="2" width="7.5703125" customWidth="1"/>
    <col min="3" max="3" width="17.42578125" customWidth="1"/>
    <col min="4" max="4" width="6" customWidth="1"/>
    <col min="5" max="5" width="7.28515625" customWidth="1"/>
    <col min="6" max="9" width="6" customWidth="1"/>
    <col min="12" max="12" width="11.7109375" customWidth="1"/>
    <col min="14" max="14" width="7.7109375" customWidth="1"/>
    <col min="15" max="15" width="10.140625" customWidth="1"/>
    <col min="19" max="19" width="10.7109375" customWidth="1"/>
  </cols>
  <sheetData>
    <row r="1" spans="1:20" ht="15.75">
      <c r="A1" s="227" t="s">
        <v>55</v>
      </c>
      <c r="B1" s="227"/>
      <c r="C1" s="227"/>
      <c r="D1" s="227"/>
      <c r="E1" s="227"/>
      <c r="F1" s="227"/>
      <c r="G1" s="227"/>
      <c r="H1" s="227"/>
      <c r="I1" s="19"/>
      <c r="J1" s="17"/>
      <c r="Q1" s="228" t="s">
        <v>99</v>
      </c>
      <c r="R1" s="228"/>
      <c r="S1" s="228"/>
    </row>
    <row r="2" spans="1:20">
      <c r="A2" s="229" t="s">
        <v>67</v>
      </c>
      <c r="B2" s="229"/>
      <c r="C2" s="229"/>
      <c r="D2" s="229"/>
      <c r="E2" s="229"/>
      <c r="F2" s="229"/>
      <c r="G2" s="229"/>
      <c r="H2" s="9"/>
      <c r="I2" s="19"/>
      <c r="J2" s="17"/>
      <c r="R2" s="230" t="s">
        <v>68</v>
      </c>
      <c r="S2" s="230"/>
    </row>
    <row r="3" spans="1:20" ht="15.75">
      <c r="A3" s="227" t="s">
        <v>56</v>
      </c>
      <c r="B3" s="227"/>
      <c r="C3" s="227"/>
      <c r="D3" s="227"/>
      <c r="E3" s="227"/>
      <c r="F3" s="227"/>
      <c r="G3" s="227"/>
      <c r="H3" s="9"/>
      <c r="I3" s="19"/>
      <c r="J3" s="17"/>
      <c r="R3" s="29" t="s">
        <v>63</v>
      </c>
    </row>
    <row r="4" spans="1:20" ht="20.25">
      <c r="A4" s="231" t="s">
        <v>76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0" ht="18.75">
      <c r="A5" s="232" t="s">
        <v>98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1:20">
      <c r="A6" s="225" t="s">
        <v>0</v>
      </c>
      <c r="B6" s="226" t="s">
        <v>1</v>
      </c>
      <c r="C6" s="226" t="s">
        <v>2</v>
      </c>
      <c r="D6" s="226" t="s">
        <v>3</v>
      </c>
      <c r="E6" s="226" t="s">
        <v>20</v>
      </c>
      <c r="F6" s="226"/>
      <c r="G6" s="226"/>
      <c r="H6" s="226"/>
      <c r="I6" s="226"/>
      <c r="J6" s="226"/>
      <c r="K6" s="226"/>
      <c r="L6" s="226"/>
      <c r="M6" s="233" t="s">
        <v>9</v>
      </c>
      <c r="N6" s="233" t="s">
        <v>11</v>
      </c>
      <c r="O6" s="226" t="s">
        <v>12</v>
      </c>
      <c r="P6" s="234" t="s">
        <v>13</v>
      </c>
      <c r="Q6" s="235"/>
      <c r="R6" s="236"/>
      <c r="S6" s="226" t="s">
        <v>15</v>
      </c>
      <c r="T6" s="218" t="s">
        <v>57</v>
      </c>
    </row>
    <row r="7" spans="1:20">
      <c r="A7" s="225"/>
      <c r="B7" s="226"/>
      <c r="C7" s="226"/>
      <c r="D7" s="226"/>
      <c r="E7" s="221" t="s">
        <v>4</v>
      </c>
      <c r="F7" s="222" t="s">
        <v>5</v>
      </c>
      <c r="G7" s="223" t="s">
        <v>6</v>
      </c>
      <c r="H7" s="223"/>
      <c r="I7" s="223"/>
      <c r="J7" s="223"/>
      <c r="K7" s="224" t="s">
        <v>7</v>
      </c>
      <c r="L7" s="224" t="s">
        <v>8</v>
      </c>
      <c r="M7" s="233"/>
      <c r="N7" s="233"/>
      <c r="O7" s="226"/>
      <c r="P7" s="225" t="s">
        <v>10</v>
      </c>
      <c r="Q7" s="226" t="s">
        <v>85</v>
      </c>
      <c r="R7" s="225" t="s">
        <v>14</v>
      </c>
      <c r="S7" s="226"/>
      <c r="T7" s="219"/>
    </row>
    <row r="8" spans="1:20" ht="42">
      <c r="A8" s="225"/>
      <c r="B8" s="226"/>
      <c r="C8" s="226"/>
      <c r="D8" s="226"/>
      <c r="E8" s="221"/>
      <c r="F8" s="222"/>
      <c r="G8" s="128" t="s">
        <v>26</v>
      </c>
      <c r="H8" s="128" t="s">
        <v>86</v>
      </c>
      <c r="I8" s="20" t="s">
        <v>24</v>
      </c>
      <c r="J8" s="18" t="s">
        <v>25</v>
      </c>
      <c r="K8" s="224"/>
      <c r="L8" s="224"/>
      <c r="M8" s="233"/>
      <c r="N8" s="233"/>
      <c r="O8" s="226"/>
      <c r="P8" s="225"/>
      <c r="Q8" s="226"/>
      <c r="R8" s="225"/>
      <c r="S8" s="226"/>
      <c r="T8" s="220"/>
    </row>
    <row r="9" spans="1:20">
      <c r="A9" s="4" t="s">
        <v>16</v>
      </c>
      <c r="B9" s="4" t="s">
        <v>17</v>
      </c>
      <c r="C9" s="4" t="s">
        <v>18</v>
      </c>
      <c r="D9" s="4" t="s">
        <v>19</v>
      </c>
      <c r="E9" s="13">
        <v>1</v>
      </c>
      <c r="F9" s="13">
        <v>2</v>
      </c>
      <c r="G9" s="13">
        <v>3</v>
      </c>
      <c r="H9" s="13">
        <v>4</v>
      </c>
      <c r="I9" s="13">
        <v>5</v>
      </c>
      <c r="J9" s="23">
        <v>6</v>
      </c>
      <c r="K9" s="4">
        <v>7</v>
      </c>
      <c r="L9" s="4">
        <v>8</v>
      </c>
      <c r="M9" s="4">
        <v>9</v>
      </c>
      <c r="N9" s="4">
        <v>10</v>
      </c>
      <c r="O9" s="30" t="s">
        <v>87</v>
      </c>
      <c r="P9" s="30">
        <v>12</v>
      </c>
      <c r="Q9" s="30">
        <v>13</v>
      </c>
      <c r="R9" s="30">
        <v>14</v>
      </c>
      <c r="S9" s="30" t="s">
        <v>88</v>
      </c>
      <c r="T9" s="2"/>
    </row>
    <row r="10" spans="1:20">
      <c r="A10" s="21">
        <v>1</v>
      </c>
      <c r="B10" s="39" t="s">
        <v>89</v>
      </c>
      <c r="C10" s="42" t="s">
        <v>60</v>
      </c>
      <c r="D10" s="46" t="s">
        <v>61</v>
      </c>
      <c r="E10" s="47">
        <v>5.0199999999999996</v>
      </c>
      <c r="F10" s="47">
        <v>0.35</v>
      </c>
      <c r="G10" s="25"/>
      <c r="H10" s="22"/>
      <c r="I10" s="48"/>
      <c r="J10" s="49">
        <f>30/100*(E10+F10+G10)</f>
        <v>1.6109999999999998</v>
      </c>
      <c r="K10" s="50">
        <f>E10+F10+G10+H10+I10+J10</f>
        <v>6.980999999999999</v>
      </c>
      <c r="L10" s="51">
        <f>K10*1490000</f>
        <v>10401689.999999998</v>
      </c>
      <c r="M10" s="52"/>
      <c r="N10" s="52"/>
      <c r="O10" s="51">
        <f>L10-M10+N10</f>
        <v>10401689.999999998</v>
      </c>
      <c r="P10" s="53">
        <f>((E10+F10+G10+I10)*1490000-M10)*10.5%</f>
        <v>840136.49999999988</v>
      </c>
      <c r="Q10" s="54"/>
      <c r="R10" s="53">
        <f>P10+Q10</f>
        <v>840136.49999999988</v>
      </c>
      <c r="S10" s="53">
        <f t="shared" ref="S10:S15" si="0">O10-R10</f>
        <v>9561553.4999999981</v>
      </c>
      <c r="T10" s="41"/>
    </row>
    <row r="11" spans="1:20" ht="15.75">
      <c r="A11" s="21">
        <v>2</v>
      </c>
      <c r="B11" s="39" t="s">
        <v>21</v>
      </c>
      <c r="C11" s="40" t="s">
        <v>28</v>
      </c>
      <c r="D11" s="55" t="s">
        <v>27</v>
      </c>
      <c r="E11" s="24">
        <v>4.9800000000000004</v>
      </c>
      <c r="F11" s="56"/>
      <c r="G11" s="57">
        <f>E11*6%</f>
        <v>0.29880000000000001</v>
      </c>
      <c r="H11" s="10"/>
      <c r="I11" s="48"/>
      <c r="J11" s="49">
        <f>30/100*(E11+F11+G11)</f>
        <v>1.5836400000000002</v>
      </c>
      <c r="K11" s="50">
        <f>E11+F11+G11+H11+I11+J11</f>
        <v>6.8624400000000003</v>
      </c>
      <c r="L11" s="51">
        <f>K11*1490000</f>
        <v>10225035.6</v>
      </c>
      <c r="M11" s="58"/>
      <c r="N11" s="58"/>
      <c r="O11" s="51">
        <f>L11-M11+N11</f>
        <v>10225035.6</v>
      </c>
      <c r="P11" s="53">
        <f>((E11+F11+G11+I11)*1490000-M11)*10.5%</f>
        <v>825868.26</v>
      </c>
      <c r="Q11" s="54"/>
      <c r="R11" s="53">
        <f t="shared" ref="R11:R46" si="1">P11+Q11</f>
        <v>825868.26</v>
      </c>
      <c r="S11" s="53">
        <f t="shared" si="0"/>
        <v>9399167.3399999999</v>
      </c>
      <c r="T11" s="59">
        <v>0.06</v>
      </c>
    </row>
    <row r="12" spans="1:20" ht="15.75">
      <c r="A12" s="21">
        <v>3</v>
      </c>
      <c r="B12" s="39" t="s">
        <v>22</v>
      </c>
      <c r="C12" s="40" t="s">
        <v>30</v>
      </c>
      <c r="D12" s="55" t="s">
        <v>90</v>
      </c>
      <c r="E12" s="24">
        <v>4.8899999999999997</v>
      </c>
      <c r="F12" s="47">
        <v>0.15</v>
      </c>
      <c r="G12" s="57"/>
      <c r="H12" s="10"/>
      <c r="I12" s="48"/>
      <c r="J12" s="49">
        <f>30/100*(E12+F12+G12)</f>
        <v>1.512</v>
      </c>
      <c r="K12" s="50">
        <f t="shared" ref="K12:K40" si="2">E12+F12+G12+H12+I12+J12</f>
        <v>6.5519999999999996</v>
      </c>
      <c r="L12" s="51">
        <f t="shared" ref="L12:L42" si="3">K12*1490000</f>
        <v>9762480</v>
      </c>
      <c r="M12" s="58"/>
      <c r="N12" s="58"/>
      <c r="O12" s="51">
        <f t="shared" ref="O12:O29" si="4">L12-M12+N12</f>
        <v>9762480</v>
      </c>
      <c r="P12" s="53">
        <f t="shared" ref="P12:P19" si="5">((E12+F12+G12+I12)*1490000-M12)*10.5%</f>
        <v>788508</v>
      </c>
      <c r="Q12" s="54"/>
      <c r="R12" s="53">
        <f t="shared" si="1"/>
        <v>788508</v>
      </c>
      <c r="S12" s="53">
        <f>O12-R12</f>
        <v>8973972</v>
      </c>
      <c r="T12" s="2"/>
    </row>
    <row r="13" spans="1:20" ht="15.75">
      <c r="A13" s="21">
        <v>4</v>
      </c>
      <c r="B13" s="39" t="s">
        <v>21</v>
      </c>
      <c r="C13" s="40" t="s">
        <v>32</v>
      </c>
      <c r="D13" s="55" t="s">
        <v>29</v>
      </c>
      <c r="E13" s="24">
        <v>4.9800000000000004</v>
      </c>
      <c r="F13" s="47">
        <v>0.2</v>
      </c>
      <c r="G13" s="57">
        <f>E13*5%</f>
        <v>0.24900000000000003</v>
      </c>
      <c r="H13" s="10"/>
      <c r="I13" s="48"/>
      <c r="J13" s="49">
        <f t="shared" ref="J13" si="6">30/100*(E13+F13+G13)</f>
        <v>1.6287</v>
      </c>
      <c r="K13" s="50">
        <f t="shared" si="2"/>
        <v>7.0577000000000005</v>
      </c>
      <c r="L13" s="51">
        <f t="shared" si="3"/>
        <v>10515973</v>
      </c>
      <c r="M13" s="58"/>
      <c r="N13" s="58"/>
      <c r="O13" s="51">
        <f t="shared" si="4"/>
        <v>10515973</v>
      </c>
      <c r="P13" s="53">
        <f t="shared" si="5"/>
        <v>849367.04999999993</v>
      </c>
      <c r="Q13" s="54"/>
      <c r="R13" s="53">
        <f t="shared" si="1"/>
        <v>849367.04999999993</v>
      </c>
      <c r="S13" s="53">
        <f t="shared" si="0"/>
        <v>9666605.9499999993</v>
      </c>
      <c r="T13" s="59">
        <v>0.05</v>
      </c>
    </row>
    <row r="14" spans="1:20" ht="15.75">
      <c r="A14" s="21">
        <v>5</v>
      </c>
      <c r="B14" s="39" t="s">
        <v>21</v>
      </c>
      <c r="C14" s="40" t="s">
        <v>82</v>
      </c>
      <c r="D14" s="55" t="s">
        <v>29</v>
      </c>
      <c r="E14" s="24">
        <v>4.9800000000000004</v>
      </c>
      <c r="F14" s="47">
        <v>0.2</v>
      </c>
      <c r="G14" s="57">
        <f>E14*6%</f>
        <v>0.29880000000000001</v>
      </c>
      <c r="H14" s="10"/>
      <c r="I14" s="48"/>
      <c r="J14" s="49">
        <f>30/100*(E14+F14+G14)</f>
        <v>1.6436400000000002</v>
      </c>
      <c r="K14" s="50">
        <f t="shared" si="2"/>
        <v>7.122440000000001</v>
      </c>
      <c r="L14" s="51">
        <f t="shared" si="3"/>
        <v>10612435.600000001</v>
      </c>
      <c r="M14" s="58"/>
      <c r="N14" s="58"/>
      <c r="O14" s="51">
        <f t="shared" si="4"/>
        <v>10612435.600000001</v>
      </c>
      <c r="P14" s="53">
        <f t="shared" si="5"/>
        <v>857158.26</v>
      </c>
      <c r="Q14" s="54"/>
      <c r="R14" s="53">
        <f t="shared" si="1"/>
        <v>857158.26</v>
      </c>
      <c r="S14" s="53">
        <f t="shared" si="0"/>
        <v>9755277.3400000017</v>
      </c>
      <c r="T14" s="59">
        <v>0.06</v>
      </c>
    </row>
    <row r="15" spans="1:20" ht="15.75">
      <c r="A15" s="21">
        <v>6</v>
      </c>
      <c r="B15" s="39" t="s">
        <v>21</v>
      </c>
      <c r="C15" s="40" t="s">
        <v>84</v>
      </c>
      <c r="D15" s="55" t="s">
        <v>62</v>
      </c>
      <c r="E15" s="24">
        <v>4.6500000000000004</v>
      </c>
      <c r="F15" s="47">
        <v>0.25</v>
      </c>
      <c r="G15" s="14"/>
      <c r="H15" s="10"/>
      <c r="I15" s="48"/>
      <c r="J15" s="49">
        <f t="shared" ref="J15" si="7">30/100*(E15+F15+G15)</f>
        <v>1.47</v>
      </c>
      <c r="K15" s="50">
        <f t="shared" si="2"/>
        <v>6.37</v>
      </c>
      <c r="L15" s="51">
        <f t="shared" si="3"/>
        <v>9491300</v>
      </c>
      <c r="M15" s="58"/>
      <c r="N15" s="58"/>
      <c r="O15" s="51">
        <f t="shared" si="4"/>
        <v>9491300</v>
      </c>
      <c r="P15" s="53">
        <f t="shared" si="5"/>
        <v>766605.00000000012</v>
      </c>
      <c r="Q15" s="54"/>
      <c r="R15" s="53">
        <f t="shared" si="1"/>
        <v>766605.00000000012</v>
      </c>
      <c r="S15" s="53">
        <f t="shared" si="0"/>
        <v>8724695</v>
      </c>
      <c r="T15" s="41"/>
    </row>
    <row r="16" spans="1:20" ht="15.75">
      <c r="A16" s="21">
        <v>7</v>
      </c>
      <c r="B16" s="39" t="s">
        <v>22</v>
      </c>
      <c r="C16" s="42" t="s">
        <v>31</v>
      </c>
      <c r="D16" s="55" t="s">
        <v>27</v>
      </c>
      <c r="E16" s="24">
        <v>4.8899999999999997</v>
      </c>
      <c r="F16" s="47"/>
      <c r="G16" s="57"/>
      <c r="H16" s="10"/>
      <c r="I16" s="48"/>
      <c r="J16" s="49">
        <f>30/100*(E16+F16+G16)</f>
        <v>1.4669999999999999</v>
      </c>
      <c r="K16" s="50">
        <f t="shared" si="2"/>
        <v>6.3569999999999993</v>
      </c>
      <c r="L16" s="51">
        <f t="shared" si="3"/>
        <v>9471929.9999999981</v>
      </c>
      <c r="M16" s="58"/>
      <c r="N16" s="58"/>
      <c r="O16" s="51">
        <f t="shared" si="4"/>
        <v>9471929.9999999981</v>
      </c>
      <c r="P16" s="53">
        <f t="shared" si="5"/>
        <v>765040.49999999988</v>
      </c>
      <c r="Q16" s="54"/>
      <c r="R16" s="53">
        <f t="shared" si="1"/>
        <v>765040.49999999988</v>
      </c>
      <c r="S16" s="53">
        <f>O16-R16</f>
        <v>8706889.4999999981</v>
      </c>
      <c r="T16" s="41"/>
    </row>
    <row r="17" spans="1:20" ht="15.75">
      <c r="A17" s="21">
        <v>8</v>
      </c>
      <c r="B17" s="39" t="s">
        <v>21</v>
      </c>
      <c r="C17" s="26" t="s">
        <v>70</v>
      </c>
      <c r="D17" s="55" t="s">
        <v>27</v>
      </c>
      <c r="E17" s="24">
        <v>4.6500000000000004</v>
      </c>
      <c r="F17" s="47"/>
      <c r="G17" s="14"/>
      <c r="H17" s="10"/>
      <c r="I17" s="48"/>
      <c r="J17" s="49">
        <f t="shared" ref="J17:J19" si="8">30/100*(E17+F17+G17)</f>
        <v>1.395</v>
      </c>
      <c r="K17" s="50">
        <f t="shared" si="2"/>
        <v>6.0449999999999999</v>
      </c>
      <c r="L17" s="51">
        <f t="shared" si="3"/>
        <v>9007050</v>
      </c>
      <c r="M17" s="58"/>
      <c r="N17" s="58"/>
      <c r="O17" s="51">
        <f t="shared" si="4"/>
        <v>9007050</v>
      </c>
      <c r="P17" s="53">
        <f t="shared" si="5"/>
        <v>727492.50000000012</v>
      </c>
      <c r="Q17" s="54"/>
      <c r="R17" s="53">
        <f t="shared" si="1"/>
        <v>727492.50000000012</v>
      </c>
      <c r="S17" s="53">
        <f t="shared" ref="S17:S20" si="9">O17-R17</f>
        <v>8279557.5</v>
      </c>
      <c r="T17" s="41"/>
    </row>
    <row r="18" spans="1:20" ht="15.75">
      <c r="A18" s="21">
        <v>9</v>
      </c>
      <c r="B18" s="39" t="s">
        <v>21</v>
      </c>
      <c r="C18" s="26" t="s">
        <v>33</v>
      </c>
      <c r="D18" s="55" t="s">
        <v>29</v>
      </c>
      <c r="E18" s="24">
        <v>4.6500000000000004</v>
      </c>
      <c r="F18" s="47">
        <v>0.2</v>
      </c>
      <c r="G18" s="14"/>
      <c r="H18" s="10"/>
      <c r="I18" s="48"/>
      <c r="J18" s="49">
        <f t="shared" si="8"/>
        <v>1.4550000000000001</v>
      </c>
      <c r="K18" s="50">
        <f t="shared" si="2"/>
        <v>6.3050000000000006</v>
      </c>
      <c r="L18" s="51">
        <f t="shared" si="3"/>
        <v>9394450</v>
      </c>
      <c r="M18" s="58"/>
      <c r="N18" s="58"/>
      <c r="O18" s="51">
        <f t="shared" si="4"/>
        <v>9394450</v>
      </c>
      <c r="P18" s="53">
        <f t="shared" si="5"/>
        <v>758782.50000000012</v>
      </c>
      <c r="Q18" s="54"/>
      <c r="R18" s="53">
        <f t="shared" si="1"/>
        <v>758782.50000000012</v>
      </c>
      <c r="S18" s="53">
        <f t="shared" si="9"/>
        <v>8635667.5</v>
      </c>
      <c r="T18" s="41"/>
    </row>
    <row r="19" spans="1:20" ht="15.75">
      <c r="A19" s="21">
        <v>10</v>
      </c>
      <c r="B19" s="39" t="s">
        <v>21</v>
      </c>
      <c r="C19" s="26" t="s">
        <v>34</v>
      </c>
      <c r="D19" s="55" t="s">
        <v>27</v>
      </c>
      <c r="E19" s="24">
        <v>4.32</v>
      </c>
      <c r="F19" s="47"/>
      <c r="G19" s="14"/>
      <c r="H19" s="10"/>
      <c r="I19" s="48"/>
      <c r="J19" s="49">
        <f t="shared" si="8"/>
        <v>1.296</v>
      </c>
      <c r="K19" s="50">
        <f t="shared" si="2"/>
        <v>5.6160000000000005</v>
      </c>
      <c r="L19" s="51">
        <f t="shared" si="3"/>
        <v>8367840.0000000009</v>
      </c>
      <c r="M19" s="58"/>
      <c r="N19" s="58"/>
      <c r="O19" s="51">
        <f t="shared" si="4"/>
        <v>8367840.0000000009</v>
      </c>
      <c r="P19" s="53">
        <f t="shared" si="5"/>
        <v>675864</v>
      </c>
      <c r="Q19" s="54"/>
      <c r="R19" s="53">
        <f t="shared" si="1"/>
        <v>675864</v>
      </c>
      <c r="S19" s="53">
        <f t="shared" si="9"/>
        <v>7691976.0000000009</v>
      </c>
      <c r="T19" s="41"/>
    </row>
    <row r="20" spans="1:20">
      <c r="A20" s="21">
        <v>11</v>
      </c>
      <c r="B20" s="39" t="s">
        <v>21</v>
      </c>
      <c r="C20" s="42" t="s">
        <v>36</v>
      </c>
      <c r="D20" s="55" t="s">
        <v>29</v>
      </c>
      <c r="E20" s="24">
        <v>4.32</v>
      </c>
      <c r="F20" s="47">
        <v>0.2</v>
      </c>
      <c r="G20" s="33"/>
      <c r="H20" s="35"/>
      <c r="I20" s="48"/>
      <c r="J20" s="49">
        <f>30/100*(E20+F20+G20)</f>
        <v>1.3560000000000001</v>
      </c>
      <c r="K20" s="50">
        <f t="shared" si="2"/>
        <v>5.8760000000000003</v>
      </c>
      <c r="L20" s="51">
        <f t="shared" si="3"/>
        <v>8755240</v>
      </c>
      <c r="M20" s="58"/>
      <c r="N20" s="58"/>
      <c r="O20" s="51">
        <f t="shared" si="4"/>
        <v>8755240</v>
      </c>
      <c r="P20" s="53">
        <f>((E20+F20+G20+I20)*1490000-M20)*10.5%</f>
        <v>707154.00000000012</v>
      </c>
      <c r="Q20" s="54"/>
      <c r="R20" s="53">
        <f t="shared" si="1"/>
        <v>707154.00000000012</v>
      </c>
      <c r="S20" s="53">
        <f t="shared" si="9"/>
        <v>8048086</v>
      </c>
      <c r="T20" s="2"/>
    </row>
    <row r="21" spans="1:20">
      <c r="A21" s="21">
        <v>12</v>
      </c>
      <c r="B21" s="39" t="s">
        <v>64</v>
      </c>
      <c r="C21" s="26" t="s">
        <v>59</v>
      </c>
      <c r="D21" s="55" t="s">
        <v>35</v>
      </c>
      <c r="E21" s="24">
        <v>4.2699999999999996</v>
      </c>
      <c r="F21" s="47">
        <v>0.2</v>
      </c>
      <c r="G21" s="33"/>
      <c r="H21" s="34">
        <v>0.1</v>
      </c>
      <c r="I21" s="48"/>
      <c r="J21" s="49"/>
      <c r="K21" s="50">
        <f t="shared" si="2"/>
        <v>4.5699999999999994</v>
      </c>
      <c r="L21" s="51">
        <f t="shared" si="3"/>
        <v>6809299.9999999991</v>
      </c>
      <c r="M21" s="58"/>
      <c r="N21" s="58"/>
      <c r="O21" s="51">
        <f t="shared" si="4"/>
        <v>6809299.9999999991</v>
      </c>
      <c r="P21" s="53">
        <f>((E21+F21+G21+I21)*1490000-M21)*10.5%</f>
        <v>699331.5</v>
      </c>
      <c r="Q21" s="54"/>
      <c r="R21" s="53">
        <f t="shared" si="1"/>
        <v>699331.5</v>
      </c>
      <c r="S21" s="53">
        <f>O21-R21</f>
        <v>6109968.4999999991</v>
      </c>
      <c r="T21" s="2"/>
    </row>
    <row r="22" spans="1:20">
      <c r="A22" s="21">
        <v>13</v>
      </c>
      <c r="B22" s="39" t="s">
        <v>21</v>
      </c>
      <c r="C22" s="40" t="s">
        <v>69</v>
      </c>
      <c r="D22" s="55" t="s">
        <v>27</v>
      </c>
      <c r="E22" s="24">
        <v>4.32</v>
      </c>
      <c r="F22" s="47"/>
      <c r="G22" s="33"/>
      <c r="H22" s="35"/>
      <c r="I22" s="48"/>
      <c r="J22" s="49">
        <f>30/100*(E22+F22+G22)</f>
        <v>1.296</v>
      </c>
      <c r="K22" s="50">
        <f t="shared" si="2"/>
        <v>5.6160000000000005</v>
      </c>
      <c r="L22" s="51">
        <f t="shared" si="3"/>
        <v>8367840.0000000009</v>
      </c>
      <c r="M22" s="58"/>
      <c r="N22" s="58"/>
      <c r="O22" s="51">
        <f t="shared" si="4"/>
        <v>8367840.0000000009</v>
      </c>
      <c r="P22" s="53">
        <f t="shared" ref="P22:P40" si="10">((E22+F22+G22+I22)*1490000-M22)*10.5%</f>
        <v>675864</v>
      </c>
      <c r="Q22" s="54"/>
      <c r="R22" s="53">
        <f t="shared" si="1"/>
        <v>675864</v>
      </c>
      <c r="S22" s="53">
        <f t="shared" ref="S22:S29" si="11">O22-R22</f>
        <v>7691976.0000000009</v>
      </c>
      <c r="T22" s="2"/>
    </row>
    <row r="23" spans="1:20">
      <c r="A23" s="21">
        <v>14</v>
      </c>
      <c r="B23" s="39" t="s">
        <v>21</v>
      </c>
      <c r="C23" s="40" t="s">
        <v>37</v>
      </c>
      <c r="D23" s="55" t="s">
        <v>27</v>
      </c>
      <c r="E23" s="24">
        <v>4.32</v>
      </c>
      <c r="F23" s="24"/>
      <c r="G23" s="33"/>
      <c r="H23" s="35"/>
      <c r="I23" s="48"/>
      <c r="J23" s="49">
        <f>30/100*(E23+F23+G23)</f>
        <v>1.296</v>
      </c>
      <c r="K23" s="50">
        <f t="shared" si="2"/>
        <v>5.6160000000000005</v>
      </c>
      <c r="L23" s="51">
        <f t="shared" si="3"/>
        <v>8367840.0000000009</v>
      </c>
      <c r="M23" s="58"/>
      <c r="N23" s="58"/>
      <c r="O23" s="51">
        <f t="shared" si="4"/>
        <v>8367840.0000000009</v>
      </c>
      <c r="P23" s="53">
        <f t="shared" si="10"/>
        <v>675864</v>
      </c>
      <c r="Q23" s="54"/>
      <c r="R23" s="53">
        <f t="shared" si="1"/>
        <v>675864</v>
      </c>
      <c r="S23" s="53">
        <f t="shared" si="11"/>
        <v>7691976.0000000009</v>
      </c>
      <c r="T23" s="2"/>
    </row>
    <row r="24" spans="1:20">
      <c r="A24" s="21">
        <v>15</v>
      </c>
      <c r="B24" s="39" t="s">
        <v>21</v>
      </c>
      <c r="C24" s="40" t="s">
        <v>71</v>
      </c>
      <c r="D24" s="55" t="s">
        <v>27</v>
      </c>
      <c r="E24" s="24">
        <v>4.32</v>
      </c>
      <c r="F24" s="24"/>
      <c r="G24" s="33"/>
      <c r="H24" s="35"/>
      <c r="I24" s="48"/>
      <c r="J24" s="49">
        <f t="shared" ref="J24:J26" si="12">30/100*(E24+F24+G24)</f>
        <v>1.296</v>
      </c>
      <c r="K24" s="50">
        <f t="shared" si="2"/>
        <v>5.6160000000000005</v>
      </c>
      <c r="L24" s="51">
        <f t="shared" si="3"/>
        <v>8367840.0000000009</v>
      </c>
      <c r="M24" s="58"/>
      <c r="N24" s="58"/>
      <c r="O24" s="51">
        <f t="shared" si="4"/>
        <v>8367840.0000000009</v>
      </c>
      <c r="P24" s="53">
        <f t="shared" si="10"/>
        <v>675864</v>
      </c>
      <c r="Q24" s="54"/>
      <c r="R24" s="53">
        <f t="shared" si="1"/>
        <v>675864</v>
      </c>
      <c r="S24" s="53">
        <f t="shared" si="11"/>
        <v>7691976.0000000009</v>
      </c>
      <c r="T24" s="41"/>
    </row>
    <row r="25" spans="1:20">
      <c r="A25" s="21">
        <v>16</v>
      </c>
      <c r="B25" s="39" t="s">
        <v>21</v>
      </c>
      <c r="C25" s="40" t="s">
        <v>38</v>
      </c>
      <c r="D25" s="55" t="s">
        <v>27</v>
      </c>
      <c r="E25" s="24">
        <v>4.32</v>
      </c>
      <c r="F25" s="24"/>
      <c r="G25" s="33"/>
      <c r="H25" s="35"/>
      <c r="I25" s="48"/>
      <c r="J25" s="49">
        <f t="shared" si="12"/>
        <v>1.296</v>
      </c>
      <c r="K25" s="50">
        <f t="shared" si="2"/>
        <v>5.6160000000000005</v>
      </c>
      <c r="L25" s="51">
        <f t="shared" si="3"/>
        <v>8367840.0000000009</v>
      </c>
      <c r="M25" s="58"/>
      <c r="N25" s="58"/>
      <c r="O25" s="51">
        <f t="shared" si="4"/>
        <v>8367840.0000000009</v>
      </c>
      <c r="P25" s="53">
        <f t="shared" si="10"/>
        <v>675864</v>
      </c>
      <c r="Q25" s="54"/>
      <c r="R25" s="53">
        <f t="shared" si="1"/>
        <v>675864</v>
      </c>
      <c r="S25" s="53">
        <f t="shared" si="11"/>
        <v>7691976.0000000009</v>
      </c>
      <c r="T25" s="41"/>
    </row>
    <row r="26" spans="1:20">
      <c r="A26" s="21">
        <v>17</v>
      </c>
      <c r="B26" s="39" t="s">
        <v>21</v>
      </c>
      <c r="C26" s="40" t="s">
        <v>72</v>
      </c>
      <c r="D26" s="55" t="s">
        <v>27</v>
      </c>
      <c r="E26" s="24">
        <v>4.32</v>
      </c>
      <c r="F26" s="24"/>
      <c r="G26" s="33"/>
      <c r="H26" s="35"/>
      <c r="I26" s="48"/>
      <c r="J26" s="49">
        <f t="shared" si="12"/>
        <v>1.296</v>
      </c>
      <c r="K26" s="50">
        <f t="shared" si="2"/>
        <v>5.6160000000000005</v>
      </c>
      <c r="L26" s="51">
        <f t="shared" si="3"/>
        <v>8367840.0000000009</v>
      </c>
      <c r="M26" s="58"/>
      <c r="N26" s="58"/>
      <c r="O26" s="51">
        <f t="shared" si="4"/>
        <v>8367840.0000000009</v>
      </c>
      <c r="P26" s="53">
        <f t="shared" si="10"/>
        <v>675864</v>
      </c>
      <c r="Q26" s="54"/>
      <c r="R26" s="53">
        <f t="shared" si="1"/>
        <v>675864</v>
      </c>
      <c r="S26" s="53">
        <f t="shared" si="11"/>
        <v>7691976.0000000009</v>
      </c>
      <c r="T26" s="41"/>
    </row>
    <row r="27" spans="1:20">
      <c r="A27" s="21">
        <v>18</v>
      </c>
      <c r="B27" s="39" t="s">
        <v>21</v>
      </c>
      <c r="C27" s="40" t="s">
        <v>91</v>
      </c>
      <c r="D27" s="55" t="s">
        <v>27</v>
      </c>
      <c r="E27" s="24">
        <v>4.32</v>
      </c>
      <c r="F27" s="24">
        <v>0.15</v>
      </c>
      <c r="G27" s="60"/>
      <c r="H27" s="35"/>
      <c r="I27" s="48"/>
      <c r="J27" s="49">
        <f>30/100*(E27+F27+G27)</f>
        <v>1.3410000000000002</v>
      </c>
      <c r="K27" s="61">
        <f t="shared" si="2"/>
        <v>5.8110000000000008</v>
      </c>
      <c r="L27" s="62">
        <f t="shared" si="3"/>
        <v>8658390.0000000019</v>
      </c>
      <c r="M27" s="63"/>
      <c r="N27" s="63"/>
      <c r="O27" s="62">
        <f t="shared" si="4"/>
        <v>8658390.0000000019</v>
      </c>
      <c r="P27" s="64">
        <f t="shared" si="10"/>
        <v>699331.50000000012</v>
      </c>
      <c r="Q27" s="54"/>
      <c r="R27" s="64">
        <f t="shared" si="1"/>
        <v>699331.50000000012</v>
      </c>
      <c r="S27" s="64">
        <f t="shared" si="11"/>
        <v>7959058.5000000019</v>
      </c>
      <c r="T27" s="41"/>
    </row>
    <row r="28" spans="1:20">
      <c r="A28" s="21">
        <v>19</v>
      </c>
      <c r="B28" s="39" t="s">
        <v>21</v>
      </c>
      <c r="C28" s="40" t="s">
        <v>39</v>
      </c>
      <c r="D28" s="55" t="s">
        <v>27</v>
      </c>
      <c r="E28" s="24">
        <v>4.32</v>
      </c>
      <c r="F28" s="24"/>
      <c r="G28" s="33"/>
      <c r="H28" s="36"/>
      <c r="I28" s="48"/>
      <c r="J28" s="49">
        <f>30/100*(E28+F28+G28)</f>
        <v>1.296</v>
      </c>
      <c r="K28" s="50">
        <f t="shared" si="2"/>
        <v>5.6160000000000005</v>
      </c>
      <c r="L28" s="51">
        <f t="shared" si="3"/>
        <v>8367840.0000000009</v>
      </c>
      <c r="M28" s="58"/>
      <c r="N28" s="58"/>
      <c r="O28" s="51">
        <f t="shared" si="4"/>
        <v>8367840.0000000009</v>
      </c>
      <c r="P28" s="53">
        <f t="shared" si="10"/>
        <v>675864</v>
      </c>
      <c r="Q28" s="54"/>
      <c r="R28" s="53">
        <f t="shared" si="1"/>
        <v>675864</v>
      </c>
      <c r="S28" s="53">
        <f t="shared" si="11"/>
        <v>7691976.0000000009</v>
      </c>
      <c r="T28" s="41"/>
    </row>
    <row r="29" spans="1:20">
      <c r="A29" s="21">
        <v>20</v>
      </c>
      <c r="B29" s="39" t="s">
        <v>22</v>
      </c>
      <c r="C29" s="40" t="s">
        <v>40</v>
      </c>
      <c r="D29" s="55" t="s">
        <v>90</v>
      </c>
      <c r="E29" s="24">
        <v>3.96</v>
      </c>
      <c r="F29" s="24">
        <v>0.15</v>
      </c>
      <c r="G29" s="33"/>
      <c r="H29" s="36"/>
      <c r="I29" s="48"/>
      <c r="J29" s="49">
        <f t="shared" ref="J29" si="13">30/100*(E29+F29+G29)</f>
        <v>1.2330000000000001</v>
      </c>
      <c r="K29" s="50">
        <f t="shared" si="2"/>
        <v>5.343</v>
      </c>
      <c r="L29" s="51">
        <f t="shared" si="3"/>
        <v>7961070</v>
      </c>
      <c r="M29" s="58"/>
      <c r="N29" s="58"/>
      <c r="O29" s="51">
        <f t="shared" si="4"/>
        <v>7961070</v>
      </c>
      <c r="P29" s="53">
        <f t="shared" si="10"/>
        <v>643009.50000000012</v>
      </c>
      <c r="Q29" s="54"/>
      <c r="R29" s="53">
        <f t="shared" si="1"/>
        <v>643009.50000000012</v>
      </c>
      <c r="S29" s="53">
        <f t="shared" si="11"/>
        <v>7318060.5</v>
      </c>
      <c r="T29" s="41"/>
    </row>
    <row r="30" spans="1:20" ht="15.75">
      <c r="A30" s="21">
        <v>21</v>
      </c>
      <c r="B30" s="39" t="s">
        <v>21</v>
      </c>
      <c r="C30" s="40" t="s">
        <v>73</v>
      </c>
      <c r="D30" s="55" t="s">
        <v>27</v>
      </c>
      <c r="E30" s="24">
        <v>3.99</v>
      </c>
      <c r="F30" s="24"/>
      <c r="G30" s="14"/>
      <c r="H30" s="10"/>
      <c r="I30" s="48"/>
      <c r="J30" s="49">
        <f>30/100*(E30+F30+G30)</f>
        <v>1.1970000000000001</v>
      </c>
      <c r="K30" s="50">
        <f t="shared" si="2"/>
        <v>5.1870000000000003</v>
      </c>
      <c r="L30" s="51">
        <f t="shared" si="3"/>
        <v>7728630</v>
      </c>
      <c r="M30" s="65"/>
      <c r="N30" s="65"/>
      <c r="O30" s="51">
        <f>L30-M30+N30</f>
        <v>7728630</v>
      </c>
      <c r="P30" s="53">
        <f t="shared" si="10"/>
        <v>624235.5</v>
      </c>
      <c r="Q30" s="54"/>
      <c r="R30" s="53">
        <f t="shared" si="1"/>
        <v>624235.5</v>
      </c>
      <c r="S30" s="53">
        <f>O30-R30-N30</f>
        <v>7104394.5</v>
      </c>
      <c r="T30" s="41"/>
    </row>
    <row r="31" spans="1:20" ht="15.75">
      <c r="A31" s="21">
        <v>22</v>
      </c>
      <c r="B31" s="39" t="s">
        <v>21</v>
      </c>
      <c r="C31" s="40" t="s">
        <v>41</v>
      </c>
      <c r="D31" s="55" t="s">
        <v>27</v>
      </c>
      <c r="E31" s="24">
        <v>3.99</v>
      </c>
      <c r="F31" s="56"/>
      <c r="G31" s="14"/>
      <c r="H31" s="10"/>
      <c r="I31" s="48"/>
      <c r="J31" s="49">
        <f t="shared" ref="J31:J36" si="14">30/100*(E31+F31+G31)</f>
        <v>1.1970000000000001</v>
      </c>
      <c r="K31" s="50">
        <f t="shared" si="2"/>
        <v>5.1870000000000003</v>
      </c>
      <c r="L31" s="51">
        <f t="shared" si="3"/>
        <v>7728630</v>
      </c>
      <c r="M31" s="58"/>
      <c r="N31" s="58"/>
      <c r="O31" s="51">
        <f t="shared" ref="O31:O46" si="15">L31-M31+N31</f>
        <v>7728630</v>
      </c>
      <c r="P31" s="53">
        <f t="shared" si="10"/>
        <v>624235.5</v>
      </c>
      <c r="Q31" s="54"/>
      <c r="R31" s="53">
        <f t="shared" si="1"/>
        <v>624235.5</v>
      </c>
      <c r="S31" s="53">
        <f t="shared" ref="S31:S39" si="16">O31-R31</f>
        <v>7104394.5</v>
      </c>
      <c r="T31" s="41"/>
    </row>
    <row r="32" spans="1:20">
      <c r="A32" s="21">
        <v>23</v>
      </c>
      <c r="B32" s="39" t="s">
        <v>21</v>
      </c>
      <c r="C32" s="40" t="s">
        <v>42</v>
      </c>
      <c r="D32" s="55" t="s">
        <v>27</v>
      </c>
      <c r="E32" s="24">
        <v>3.99</v>
      </c>
      <c r="F32" s="56"/>
      <c r="G32" s="14"/>
      <c r="H32" s="24">
        <v>0.1</v>
      </c>
      <c r="I32" s="48"/>
      <c r="J32" s="49">
        <f t="shared" si="14"/>
        <v>1.1970000000000001</v>
      </c>
      <c r="K32" s="50">
        <f t="shared" si="2"/>
        <v>5.2869999999999999</v>
      </c>
      <c r="L32" s="51">
        <f t="shared" si="3"/>
        <v>7877630</v>
      </c>
      <c r="M32" s="58"/>
      <c r="N32" s="58"/>
      <c r="O32" s="51">
        <f t="shared" si="15"/>
        <v>7877630</v>
      </c>
      <c r="P32" s="53">
        <f t="shared" si="10"/>
        <v>624235.5</v>
      </c>
      <c r="Q32" s="54"/>
      <c r="R32" s="53">
        <f t="shared" si="1"/>
        <v>624235.5</v>
      </c>
      <c r="S32" s="53">
        <f t="shared" si="16"/>
        <v>7253394.5</v>
      </c>
      <c r="T32" s="41"/>
    </row>
    <row r="33" spans="1:20" ht="15.75">
      <c r="A33" s="21">
        <v>24</v>
      </c>
      <c r="B33" s="39" t="s">
        <v>21</v>
      </c>
      <c r="C33" s="26" t="s">
        <v>74</v>
      </c>
      <c r="D33" s="55" t="s">
        <v>27</v>
      </c>
      <c r="E33" s="24">
        <v>3.99</v>
      </c>
      <c r="F33" s="56"/>
      <c r="G33" s="14"/>
      <c r="H33" s="10"/>
      <c r="I33" s="66"/>
      <c r="J33" s="67">
        <f t="shared" si="14"/>
        <v>1.1970000000000001</v>
      </c>
      <c r="K33" s="68">
        <f t="shared" si="2"/>
        <v>5.1870000000000003</v>
      </c>
      <c r="L33" s="69">
        <f t="shared" si="3"/>
        <v>7728630</v>
      </c>
      <c r="M33" s="70"/>
      <c r="N33" s="70"/>
      <c r="O33" s="69">
        <f t="shared" si="15"/>
        <v>7728630</v>
      </c>
      <c r="P33" s="71">
        <f t="shared" si="10"/>
        <v>624235.5</v>
      </c>
      <c r="Q33" s="54"/>
      <c r="R33" s="71">
        <f t="shared" si="1"/>
        <v>624235.5</v>
      </c>
      <c r="S33" s="71">
        <f t="shared" si="16"/>
        <v>7104394.5</v>
      </c>
      <c r="T33" s="41"/>
    </row>
    <row r="34" spans="1:20" ht="15.75">
      <c r="A34" s="21">
        <v>25</v>
      </c>
      <c r="B34" s="72" t="s">
        <v>21</v>
      </c>
      <c r="C34" s="26" t="s">
        <v>43</v>
      </c>
      <c r="D34" s="55" t="s">
        <v>27</v>
      </c>
      <c r="E34" s="24">
        <v>3.99</v>
      </c>
      <c r="F34" s="56"/>
      <c r="G34" s="14"/>
      <c r="H34" s="10"/>
      <c r="I34" s="66"/>
      <c r="J34" s="67">
        <f t="shared" si="14"/>
        <v>1.1970000000000001</v>
      </c>
      <c r="K34" s="68">
        <f t="shared" si="2"/>
        <v>5.1870000000000003</v>
      </c>
      <c r="L34" s="69">
        <f t="shared" si="3"/>
        <v>7728630</v>
      </c>
      <c r="M34" s="70"/>
      <c r="N34" s="70"/>
      <c r="O34" s="69">
        <f t="shared" si="15"/>
        <v>7728630</v>
      </c>
      <c r="P34" s="71">
        <f t="shared" si="10"/>
        <v>624235.5</v>
      </c>
      <c r="Q34" s="54"/>
      <c r="R34" s="71">
        <f t="shared" si="1"/>
        <v>624235.5</v>
      </c>
      <c r="S34" s="71">
        <f t="shared" si="16"/>
        <v>7104394.5</v>
      </c>
      <c r="T34" s="41"/>
    </row>
    <row r="35" spans="1:20" ht="15.75">
      <c r="A35" s="21">
        <v>26</v>
      </c>
      <c r="B35" s="39" t="s">
        <v>21</v>
      </c>
      <c r="C35" s="26" t="s">
        <v>58</v>
      </c>
      <c r="D35" s="55" t="s">
        <v>27</v>
      </c>
      <c r="E35" s="24">
        <v>3.33</v>
      </c>
      <c r="F35" s="56"/>
      <c r="G35" s="14"/>
      <c r="H35" s="10"/>
      <c r="I35" s="48"/>
      <c r="J35" s="49">
        <f t="shared" si="14"/>
        <v>0.999</v>
      </c>
      <c r="K35" s="50">
        <f t="shared" si="2"/>
        <v>4.3289999999999997</v>
      </c>
      <c r="L35" s="51">
        <f t="shared" si="3"/>
        <v>6450210</v>
      </c>
      <c r="M35" s="58"/>
      <c r="N35" s="58"/>
      <c r="O35" s="51">
        <f t="shared" si="15"/>
        <v>6450210</v>
      </c>
      <c r="P35" s="53">
        <f t="shared" si="10"/>
        <v>520978.5</v>
      </c>
      <c r="Q35" s="54"/>
      <c r="R35" s="53">
        <f t="shared" si="1"/>
        <v>520978.5</v>
      </c>
      <c r="S35" s="53">
        <f>O35-R35</f>
        <v>5929231.5</v>
      </c>
      <c r="T35" s="41"/>
    </row>
    <row r="36" spans="1:20" ht="15.75">
      <c r="A36" s="21">
        <v>27</v>
      </c>
      <c r="B36" s="39" t="s">
        <v>21</v>
      </c>
      <c r="C36" s="40" t="s">
        <v>44</v>
      </c>
      <c r="D36" s="55" t="s">
        <v>27</v>
      </c>
      <c r="E36" s="24">
        <v>3.99</v>
      </c>
      <c r="F36" s="56"/>
      <c r="G36" s="14"/>
      <c r="H36" s="10"/>
      <c r="I36" s="48"/>
      <c r="J36" s="49">
        <f t="shared" si="14"/>
        <v>1.1970000000000001</v>
      </c>
      <c r="K36" s="50">
        <f t="shared" si="2"/>
        <v>5.1870000000000003</v>
      </c>
      <c r="L36" s="51">
        <f t="shared" si="3"/>
        <v>7728630</v>
      </c>
      <c r="M36" s="58"/>
      <c r="N36" s="58"/>
      <c r="O36" s="51">
        <f t="shared" si="15"/>
        <v>7728630</v>
      </c>
      <c r="P36" s="53">
        <f t="shared" si="10"/>
        <v>624235.5</v>
      </c>
      <c r="Q36" s="54"/>
      <c r="R36" s="53">
        <f t="shared" si="1"/>
        <v>624235.5</v>
      </c>
      <c r="S36" s="53">
        <f t="shared" si="16"/>
        <v>7104394.5</v>
      </c>
      <c r="T36" s="41"/>
    </row>
    <row r="37" spans="1:20" ht="15.75">
      <c r="A37" s="21">
        <v>28</v>
      </c>
      <c r="B37" s="39" t="s">
        <v>53</v>
      </c>
      <c r="C37" s="73" t="s">
        <v>75</v>
      </c>
      <c r="D37" s="55" t="s">
        <v>83</v>
      </c>
      <c r="E37" s="74">
        <v>3.46</v>
      </c>
      <c r="F37" s="56">
        <v>0.15</v>
      </c>
      <c r="G37" s="14"/>
      <c r="H37" s="10"/>
      <c r="I37" s="48"/>
      <c r="J37" s="49"/>
      <c r="K37" s="50">
        <f t="shared" si="2"/>
        <v>3.61</v>
      </c>
      <c r="L37" s="51">
        <f t="shared" si="3"/>
        <v>5378900</v>
      </c>
      <c r="M37" s="65">
        <f>L37</f>
        <v>5378900</v>
      </c>
      <c r="N37" s="75"/>
      <c r="O37" s="51">
        <f>L37-M37+N37</f>
        <v>0</v>
      </c>
      <c r="P37" s="53">
        <f t="shared" si="10"/>
        <v>0</v>
      </c>
      <c r="Q37" s="54"/>
      <c r="R37" s="53">
        <f t="shared" si="1"/>
        <v>0</v>
      </c>
      <c r="S37" s="76">
        <f t="shared" si="16"/>
        <v>0</v>
      </c>
      <c r="T37" s="41"/>
    </row>
    <row r="38" spans="1:20" ht="15.75">
      <c r="A38" s="21">
        <v>29</v>
      </c>
      <c r="B38" s="39" t="s">
        <v>89</v>
      </c>
      <c r="C38" s="42" t="s">
        <v>46</v>
      </c>
      <c r="D38" s="55" t="s">
        <v>27</v>
      </c>
      <c r="E38" s="24">
        <v>4</v>
      </c>
      <c r="F38" s="24"/>
      <c r="G38" s="14"/>
      <c r="H38" s="10"/>
      <c r="I38" s="48"/>
      <c r="J38" s="49">
        <f t="shared" ref="J38:J39" si="17">30/100*(E38+F38+G38)</f>
        <v>1.2</v>
      </c>
      <c r="K38" s="50">
        <f t="shared" si="2"/>
        <v>5.2</v>
      </c>
      <c r="L38" s="51">
        <f t="shared" si="3"/>
        <v>7748000</v>
      </c>
      <c r="M38" s="58"/>
      <c r="N38" s="58"/>
      <c r="O38" s="51">
        <f t="shared" si="15"/>
        <v>7748000</v>
      </c>
      <c r="P38" s="53">
        <f t="shared" si="10"/>
        <v>625800</v>
      </c>
      <c r="Q38" s="54"/>
      <c r="R38" s="53">
        <f t="shared" si="1"/>
        <v>625800</v>
      </c>
      <c r="S38" s="76">
        <f t="shared" si="16"/>
        <v>7122200</v>
      </c>
      <c r="T38" s="41"/>
    </row>
    <row r="39" spans="1:20" ht="15.75">
      <c r="A39" s="21">
        <v>30</v>
      </c>
      <c r="B39" s="39" t="s">
        <v>21</v>
      </c>
      <c r="C39" s="40" t="s">
        <v>47</v>
      </c>
      <c r="D39" s="55" t="s">
        <v>27</v>
      </c>
      <c r="E39" s="24">
        <v>3.99</v>
      </c>
      <c r="F39" s="24"/>
      <c r="G39" s="14"/>
      <c r="H39" s="10"/>
      <c r="I39" s="48"/>
      <c r="J39" s="49">
        <f t="shared" si="17"/>
        <v>1.1970000000000001</v>
      </c>
      <c r="K39" s="50">
        <f t="shared" si="2"/>
        <v>5.1870000000000003</v>
      </c>
      <c r="L39" s="51">
        <f t="shared" si="3"/>
        <v>7728630</v>
      </c>
      <c r="M39" s="53"/>
      <c r="N39" s="58"/>
      <c r="O39" s="51">
        <f t="shared" si="15"/>
        <v>7728630</v>
      </c>
      <c r="P39" s="53">
        <f t="shared" si="10"/>
        <v>624235.5</v>
      </c>
      <c r="Q39" s="54"/>
      <c r="R39" s="53">
        <f t="shared" si="1"/>
        <v>624235.5</v>
      </c>
      <c r="S39" s="76">
        <f t="shared" si="16"/>
        <v>7104394.5</v>
      </c>
      <c r="T39" s="41"/>
    </row>
    <row r="40" spans="1:20" ht="15.75">
      <c r="A40" s="21">
        <v>31</v>
      </c>
      <c r="B40" s="39" t="s">
        <v>21</v>
      </c>
      <c r="C40" s="40" t="s">
        <v>48</v>
      </c>
      <c r="D40" s="55" t="s">
        <v>27</v>
      </c>
      <c r="E40" s="24">
        <v>3.66</v>
      </c>
      <c r="F40" s="24"/>
      <c r="G40" s="14"/>
      <c r="H40" s="10"/>
      <c r="I40" s="48"/>
      <c r="J40" s="49">
        <f>30/100*(E40+F40+G40)</f>
        <v>1.0980000000000001</v>
      </c>
      <c r="K40" s="50">
        <f t="shared" si="2"/>
        <v>4.758</v>
      </c>
      <c r="L40" s="51">
        <f t="shared" si="3"/>
        <v>7089420</v>
      </c>
      <c r="M40" s="53"/>
      <c r="N40" s="58"/>
      <c r="O40" s="51">
        <f t="shared" si="15"/>
        <v>7089420</v>
      </c>
      <c r="P40" s="53">
        <f t="shared" si="10"/>
        <v>572607</v>
      </c>
      <c r="Q40" s="54"/>
      <c r="R40" s="53">
        <f t="shared" si="1"/>
        <v>572607</v>
      </c>
      <c r="S40" s="76">
        <f>O40-R40</f>
        <v>6516813</v>
      </c>
      <c r="T40" s="41"/>
    </row>
    <row r="41" spans="1:20" ht="15.75">
      <c r="A41" s="21">
        <v>32</v>
      </c>
      <c r="B41" s="39" t="s">
        <v>21</v>
      </c>
      <c r="C41" s="40" t="s">
        <v>92</v>
      </c>
      <c r="D41" s="55" t="s">
        <v>27</v>
      </c>
      <c r="E41" s="24">
        <v>3.33</v>
      </c>
      <c r="F41" s="24"/>
      <c r="G41" s="14"/>
      <c r="H41" s="10"/>
      <c r="I41" s="48"/>
      <c r="J41" s="49">
        <f>30/100*(E41+F41+G41)</f>
        <v>0.999</v>
      </c>
      <c r="K41" s="50">
        <f>E41+F41+G41+H41+I41+J41</f>
        <v>4.3289999999999997</v>
      </c>
      <c r="L41" s="51">
        <f t="shared" si="3"/>
        <v>6450210</v>
      </c>
      <c r="M41" s="53"/>
      <c r="N41" s="53"/>
      <c r="O41" s="51">
        <f t="shared" si="15"/>
        <v>6450210</v>
      </c>
      <c r="P41" s="53">
        <f>((E41+F41+G41+I41)*1490000)*10.5%</f>
        <v>520978.5</v>
      </c>
      <c r="Q41" s="54"/>
      <c r="R41" s="53">
        <f t="shared" si="1"/>
        <v>520978.5</v>
      </c>
      <c r="S41" s="76">
        <f t="shared" ref="S41:S42" si="18">O41-R41</f>
        <v>5929231.5</v>
      </c>
      <c r="T41" s="41"/>
    </row>
    <row r="42" spans="1:20" ht="15.75">
      <c r="A42" s="21">
        <v>33</v>
      </c>
      <c r="B42" s="39" t="s">
        <v>21</v>
      </c>
      <c r="C42" s="40" t="s">
        <v>93</v>
      </c>
      <c r="D42" s="55" t="s">
        <v>27</v>
      </c>
      <c r="E42" s="24">
        <v>3.66</v>
      </c>
      <c r="F42" s="24"/>
      <c r="G42" s="14"/>
      <c r="H42" s="10"/>
      <c r="I42" s="48"/>
      <c r="J42" s="49">
        <f>30/100*(E42+F42+G42)</f>
        <v>1.0980000000000001</v>
      </c>
      <c r="K42" s="50">
        <f>E42+F42+G42+H42+I42+J42</f>
        <v>4.758</v>
      </c>
      <c r="L42" s="51">
        <f t="shared" si="3"/>
        <v>7089420</v>
      </c>
      <c r="M42" s="53"/>
      <c r="N42" s="53"/>
      <c r="O42" s="51">
        <f t="shared" si="15"/>
        <v>7089420</v>
      </c>
      <c r="P42" s="53">
        <f>((E42+F42+G42+I42)*1490000)*10.5%</f>
        <v>572607</v>
      </c>
      <c r="Q42" s="54"/>
      <c r="R42" s="53">
        <f t="shared" si="1"/>
        <v>572607</v>
      </c>
      <c r="S42" s="76">
        <f t="shared" si="18"/>
        <v>6516813</v>
      </c>
      <c r="T42" s="41"/>
    </row>
    <row r="43" spans="1:20" ht="15.75">
      <c r="A43" s="21">
        <v>34</v>
      </c>
      <c r="B43" s="39" t="s">
        <v>94</v>
      </c>
      <c r="C43" s="42" t="s">
        <v>95</v>
      </c>
      <c r="D43" s="77" t="s">
        <v>27</v>
      </c>
      <c r="E43" s="24">
        <v>3</v>
      </c>
      <c r="F43" s="24"/>
      <c r="G43" s="14"/>
      <c r="H43" s="11"/>
      <c r="I43" s="48"/>
      <c r="J43" s="49">
        <f>30/100*(E43+F43+G43)</f>
        <v>0.89999999999999991</v>
      </c>
      <c r="K43" s="50">
        <f>E43+F43+G43+H43+I43+J43</f>
        <v>3.9</v>
      </c>
      <c r="L43" s="51">
        <f>K43*1490000</f>
        <v>5811000</v>
      </c>
      <c r="M43" s="65"/>
      <c r="N43" s="65"/>
      <c r="O43" s="51">
        <f t="shared" si="15"/>
        <v>5811000</v>
      </c>
      <c r="P43" s="53">
        <f t="shared" ref="P43:P44" si="19">((E43+F43+G43+I43)*1490000-M43)*10.5%</f>
        <v>469350</v>
      </c>
      <c r="Q43" s="54"/>
      <c r="R43" s="53">
        <f t="shared" si="1"/>
        <v>469350</v>
      </c>
      <c r="S43" s="76">
        <f>O43-R43-N43</f>
        <v>5341650</v>
      </c>
      <c r="T43" s="41"/>
    </row>
    <row r="44" spans="1:20">
      <c r="A44" s="21">
        <v>35</v>
      </c>
      <c r="B44" s="39" t="s">
        <v>23</v>
      </c>
      <c r="C44" s="40" t="s">
        <v>49</v>
      </c>
      <c r="D44" s="55" t="s">
        <v>45</v>
      </c>
      <c r="E44" s="24">
        <v>3.34</v>
      </c>
      <c r="F44" s="24"/>
      <c r="G44" s="14"/>
      <c r="H44" s="24">
        <v>0.2</v>
      </c>
      <c r="I44" s="48"/>
      <c r="J44" s="49"/>
      <c r="K44" s="50">
        <f t="shared" ref="K44" si="20">E44+F44+G44+H44+I44+J44</f>
        <v>3.54</v>
      </c>
      <c r="L44" s="51">
        <f t="shared" ref="L44" si="21">K44*1490000</f>
        <v>5274600</v>
      </c>
      <c r="M44" s="53"/>
      <c r="N44" s="58"/>
      <c r="O44" s="51">
        <f t="shared" si="15"/>
        <v>5274600</v>
      </c>
      <c r="P44" s="53">
        <f t="shared" si="19"/>
        <v>522543</v>
      </c>
      <c r="Q44" s="54"/>
      <c r="R44" s="53">
        <f t="shared" si="1"/>
        <v>522543</v>
      </c>
      <c r="S44" s="76">
        <f>O44-R44</f>
        <v>4752057</v>
      </c>
      <c r="T44" s="41"/>
    </row>
    <row r="45" spans="1:20">
      <c r="A45" s="21">
        <v>36</v>
      </c>
      <c r="B45" s="39" t="s">
        <v>52</v>
      </c>
      <c r="C45" s="40" t="s">
        <v>50</v>
      </c>
      <c r="D45" s="77" t="s">
        <v>45</v>
      </c>
      <c r="E45" s="24">
        <v>2.86</v>
      </c>
      <c r="F45" s="24"/>
      <c r="G45" s="14"/>
      <c r="H45" s="24">
        <v>0.2</v>
      </c>
      <c r="I45" s="48"/>
      <c r="J45" s="49"/>
      <c r="K45" s="50">
        <f>E45+F45+G45+H45+I45+J45</f>
        <v>3.06</v>
      </c>
      <c r="L45" s="51">
        <f>K45*1490000</f>
        <v>4559400</v>
      </c>
      <c r="M45" s="53"/>
      <c r="N45" s="51"/>
      <c r="O45" s="51">
        <f t="shared" si="15"/>
        <v>4559400</v>
      </c>
      <c r="P45" s="53">
        <f>((E45+F45+G45+I45)*1490000)*10.5%</f>
        <v>447447</v>
      </c>
      <c r="Q45" s="53"/>
      <c r="R45" s="53">
        <f t="shared" si="1"/>
        <v>447447</v>
      </c>
      <c r="S45" s="76">
        <f>O45-R45</f>
        <v>4111953</v>
      </c>
      <c r="T45" s="41"/>
    </row>
    <row r="46" spans="1:20" ht="15.75">
      <c r="A46" s="21">
        <v>37</v>
      </c>
      <c r="B46" s="39" t="s">
        <v>54</v>
      </c>
      <c r="C46" s="40" t="s">
        <v>51</v>
      </c>
      <c r="D46" s="77" t="s">
        <v>96</v>
      </c>
      <c r="E46" s="24"/>
      <c r="F46" s="24"/>
      <c r="G46" s="14"/>
      <c r="H46" s="11"/>
      <c r="I46" s="48"/>
      <c r="J46" s="49"/>
      <c r="K46" s="50"/>
      <c r="L46" s="51">
        <v>3920000</v>
      </c>
      <c r="M46" s="53"/>
      <c r="N46" s="58"/>
      <c r="O46" s="51">
        <f t="shared" si="15"/>
        <v>3920000</v>
      </c>
      <c r="P46" s="53">
        <f>O46*10.5%</f>
        <v>411600</v>
      </c>
      <c r="Q46" s="53"/>
      <c r="R46" s="53">
        <f t="shared" si="1"/>
        <v>411600</v>
      </c>
      <c r="S46" s="76">
        <f>O46-R46</f>
        <v>3508400</v>
      </c>
      <c r="T46" s="2"/>
    </row>
    <row r="47" spans="1:20" ht="15.75">
      <c r="A47" s="2"/>
      <c r="B47" s="2"/>
      <c r="C47" s="3" t="s">
        <v>14</v>
      </c>
      <c r="D47" s="5"/>
      <c r="E47" s="27">
        <f t="shared" ref="E47" si="22">SUM(E10:E46)</f>
        <v>149.36999999999995</v>
      </c>
      <c r="F47" s="78">
        <f>SUM(F10:F46)</f>
        <v>2.1999999999999997</v>
      </c>
      <c r="G47" s="27">
        <f>SUM(G10:G46)</f>
        <v>0.84660000000000002</v>
      </c>
      <c r="H47" s="78">
        <f>SUM(H10:H46)</f>
        <v>0.60000000000000009</v>
      </c>
      <c r="I47" s="27">
        <f>SUM(I10:I46)</f>
        <v>0</v>
      </c>
      <c r="J47" s="27">
        <f t="shared" ref="J47" si="23">SUM(J10:J46)</f>
        <v>41.440980000000003</v>
      </c>
      <c r="K47" s="27">
        <f>SUM(K10:K46)</f>
        <v>194.45758000000009</v>
      </c>
      <c r="L47" s="28">
        <f t="shared" ref="L47:O47" si="24">SUM(L10:L46)</f>
        <v>293661794.19999999</v>
      </c>
      <c r="M47" s="75">
        <f t="shared" si="24"/>
        <v>5378900</v>
      </c>
      <c r="N47" s="75">
        <f t="shared" si="24"/>
        <v>0</v>
      </c>
      <c r="O47" s="28">
        <f t="shared" si="24"/>
        <v>288282894.19999999</v>
      </c>
      <c r="P47" s="28">
        <f>SUM(P10:P46)</f>
        <v>23692392.57</v>
      </c>
      <c r="Q47" s="28">
        <f>SUM(Q10:Q46)</f>
        <v>0</v>
      </c>
      <c r="R47" s="28">
        <f t="shared" ref="R47" si="25">SUM(R10:R46)</f>
        <v>23692392.57</v>
      </c>
      <c r="S47" s="32">
        <f>SUM(S10:S46)</f>
        <v>264590501.63</v>
      </c>
      <c r="T47" s="2"/>
    </row>
    <row r="48" spans="1:20">
      <c r="E48" s="9"/>
      <c r="F48" s="9"/>
      <c r="G48" s="9"/>
      <c r="H48" s="9"/>
      <c r="I48" s="19"/>
      <c r="J48" s="17"/>
    </row>
    <row r="49" spans="1:20">
      <c r="A49" s="1" t="s">
        <v>100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</row>
    <row r="50" spans="1:20" ht="15.75">
      <c r="A50" s="6"/>
      <c r="E50" s="9"/>
      <c r="F50" s="9"/>
      <c r="G50" s="9"/>
      <c r="H50" s="9"/>
      <c r="I50" s="19"/>
      <c r="J50" s="17"/>
      <c r="S50" s="15"/>
    </row>
    <row r="51" spans="1:20">
      <c r="A51" s="7"/>
      <c r="B51" s="7"/>
      <c r="C51" s="7"/>
      <c r="D51" s="211"/>
      <c r="E51" s="212"/>
      <c r="F51" s="212"/>
      <c r="G51" s="37"/>
      <c r="H51" s="37"/>
      <c r="I51" s="19"/>
      <c r="J51" s="17"/>
      <c r="N51" s="43"/>
      <c r="O51" s="43"/>
      <c r="P51" s="213" t="s">
        <v>101</v>
      </c>
      <c r="Q51" s="213"/>
      <c r="R51" s="213"/>
      <c r="S51" s="213"/>
    </row>
    <row r="52" spans="1:20">
      <c r="A52" s="214" t="s">
        <v>77</v>
      </c>
      <c r="B52" s="214"/>
      <c r="C52" s="214"/>
      <c r="D52" s="214"/>
      <c r="E52" s="214"/>
      <c r="F52" s="9"/>
      <c r="G52" s="44"/>
      <c r="H52" s="44"/>
      <c r="I52" s="19"/>
      <c r="J52" s="214" t="s">
        <v>79</v>
      </c>
      <c r="K52" s="214"/>
      <c r="L52" s="214"/>
      <c r="M52" s="214"/>
      <c r="P52" s="215" t="s">
        <v>65</v>
      </c>
      <c r="Q52" s="215"/>
      <c r="R52" s="215"/>
      <c r="S52" s="215"/>
    </row>
    <row r="53" spans="1:20">
      <c r="A53" s="216" t="s">
        <v>78</v>
      </c>
      <c r="B53" s="216"/>
      <c r="C53" s="216"/>
      <c r="D53" s="216"/>
      <c r="E53" s="9"/>
      <c r="F53" s="9"/>
      <c r="G53" s="9"/>
      <c r="H53" s="9"/>
      <c r="I53" s="19"/>
      <c r="J53" s="216" t="s">
        <v>80</v>
      </c>
      <c r="K53" s="216"/>
      <c r="L53" s="216"/>
      <c r="P53" s="217" t="s">
        <v>66</v>
      </c>
      <c r="Q53" s="217"/>
      <c r="R53" s="217"/>
      <c r="S53" s="217"/>
    </row>
    <row r="54" spans="1:20">
      <c r="E54" s="9"/>
      <c r="F54" s="9"/>
      <c r="G54" s="9"/>
      <c r="H54" s="9"/>
      <c r="I54" s="19"/>
      <c r="J54" s="17"/>
    </row>
    <row r="55" spans="1:20">
      <c r="C55" s="79"/>
      <c r="E55" s="9"/>
      <c r="F55" s="9"/>
      <c r="G55" s="9"/>
      <c r="H55" s="9"/>
      <c r="I55" s="19"/>
      <c r="J55" s="17"/>
    </row>
    <row r="56" spans="1:20">
      <c r="E56" s="9"/>
      <c r="F56" s="9"/>
      <c r="G56" s="9"/>
      <c r="H56" s="9"/>
      <c r="I56" s="19"/>
      <c r="J56" s="17"/>
      <c r="L56" s="12"/>
      <c r="P56" s="16"/>
    </row>
    <row r="57" spans="1:20">
      <c r="E57" s="9"/>
      <c r="F57" s="9"/>
      <c r="G57" s="9"/>
      <c r="H57" s="9"/>
      <c r="I57" s="19"/>
      <c r="J57" s="17"/>
    </row>
    <row r="58" spans="1:20" ht="15.75">
      <c r="B58" s="209" t="s">
        <v>97</v>
      </c>
      <c r="C58" s="209"/>
      <c r="D58" s="209"/>
      <c r="E58" s="9"/>
      <c r="F58" s="9"/>
      <c r="G58" s="9"/>
      <c r="H58" s="9"/>
      <c r="I58" s="19"/>
      <c r="J58" s="209" t="s">
        <v>59</v>
      </c>
      <c r="K58" s="209"/>
      <c r="L58" s="209"/>
      <c r="M58" s="209"/>
      <c r="P58" s="209" t="s">
        <v>81</v>
      </c>
      <c r="Q58" s="209"/>
      <c r="R58" s="209"/>
      <c r="S58" s="209"/>
    </row>
    <row r="60" spans="1:20">
      <c r="A60" s="216"/>
      <c r="B60" s="216"/>
      <c r="C60" s="216"/>
      <c r="D60" s="216"/>
      <c r="E60" s="9"/>
      <c r="F60" s="9"/>
      <c r="G60" s="9"/>
      <c r="H60" s="9"/>
      <c r="I60" s="19"/>
      <c r="J60" s="216"/>
      <c r="K60" s="216"/>
      <c r="L60" s="216"/>
      <c r="P60" s="217"/>
      <c r="Q60" s="217"/>
      <c r="R60" s="217"/>
      <c r="S60" s="217"/>
      <c r="T60" s="217"/>
    </row>
    <row r="61" spans="1:20">
      <c r="E61" s="9"/>
      <c r="F61" s="9"/>
      <c r="G61" s="9"/>
      <c r="H61" s="9"/>
      <c r="I61" s="19"/>
      <c r="J61" s="17"/>
    </row>
    <row r="62" spans="1:20">
      <c r="E62" s="9"/>
      <c r="F62" s="9"/>
      <c r="G62" s="9"/>
      <c r="H62" s="9"/>
      <c r="I62" s="19"/>
      <c r="J62" s="17"/>
    </row>
    <row r="63" spans="1:20">
      <c r="E63" s="9"/>
      <c r="F63" s="9"/>
      <c r="G63" s="9"/>
      <c r="H63" s="9"/>
      <c r="I63" s="19"/>
      <c r="J63" s="17"/>
    </row>
    <row r="64" spans="1:20">
      <c r="E64" s="9"/>
      <c r="F64" s="9"/>
      <c r="G64" s="9"/>
      <c r="H64" s="9"/>
      <c r="I64" s="19"/>
      <c r="J64" s="17"/>
    </row>
    <row r="65" spans="1:20">
      <c r="E65" s="9"/>
      <c r="F65" s="9"/>
      <c r="G65" s="9"/>
      <c r="H65" s="9"/>
      <c r="I65" s="19"/>
      <c r="J65" s="17"/>
    </row>
    <row r="66" spans="1:20">
      <c r="E66" s="9"/>
      <c r="F66" s="9"/>
      <c r="G66" s="9"/>
      <c r="H66" s="9"/>
      <c r="I66" s="19"/>
      <c r="J66" s="17"/>
    </row>
    <row r="67" spans="1:20" ht="15.75">
      <c r="A67" s="227" t="s">
        <v>55</v>
      </c>
      <c r="B67" s="227"/>
      <c r="C67" s="227"/>
      <c r="D67" s="227"/>
      <c r="E67" s="227"/>
      <c r="F67" s="227"/>
      <c r="G67" s="227"/>
      <c r="H67" s="227"/>
      <c r="I67" s="19"/>
      <c r="J67" s="17"/>
      <c r="Q67" s="228" t="s">
        <v>99</v>
      </c>
      <c r="R67" s="228"/>
      <c r="S67" s="228"/>
    </row>
    <row r="68" spans="1:20">
      <c r="A68" s="229" t="s">
        <v>67</v>
      </c>
      <c r="B68" s="229"/>
      <c r="C68" s="229"/>
      <c r="D68" s="229"/>
      <c r="E68" s="229"/>
      <c r="F68" s="229"/>
      <c r="G68" s="229"/>
      <c r="H68" s="9"/>
      <c r="I68" s="19"/>
      <c r="J68" s="17"/>
      <c r="R68" s="230" t="s">
        <v>68</v>
      </c>
      <c r="S68" s="230"/>
    </row>
    <row r="69" spans="1:20" ht="15.75">
      <c r="A69" s="227" t="s">
        <v>56</v>
      </c>
      <c r="B69" s="227"/>
      <c r="C69" s="227"/>
      <c r="D69" s="227"/>
      <c r="E69" s="227"/>
      <c r="F69" s="227"/>
      <c r="G69" s="227"/>
      <c r="H69" s="9"/>
      <c r="I69" s="19"/>
      <c r="J69" s="17"/>
      <c r="R69" s="29" t="s">
        <v>63</v>
      </c>
    </row>
    <row r="70" spans="1:20" ht="20.25">
      <c r="A70" s="231" t="s">
        <v>76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</row>
    <row r="71" spans="1:20" ht="18.75">
      <c r="A71" s="232" t="s">
        <v>160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</row>
    <row r="72" spans="1:20">
      <c r="A72" s="225" t="s">
        <v>0</v>
      </c>
      <c r="B72" s="226" t="s">
        <v>1</v>
      </c>
      <c r="C72" s="226" t="s">
        <v>2</v>
      </c>
      <c r="D72" s="226" t="s">
        <v>3</v>
      </c>
      <c r="E72" s="226" t="s">
        <v>20</v>
      </c>
      <c r="F72" s="226"/>
      <c r="G72" s="226"/>
      <c r="H72" s="226"/>
      <c r="I72" s="226"/>
      <c r="J72" s="226"/>
      <c r="K72" s="226"/>
      <c r="L72" s="226"/>
      <c r="M72" s="233" t="s">
        <v>9</v>
      </c>
      <c r="N72" s="233" t="s">
        <v>11</v>
      </c>
      <c r="O72" s="226" t="s">
        <v>12</v>
      </c>
      <c r="P72" s="234" t="s">
        <v>13</v>
      </c>
      <c r="Q72" s="235"/>
      <c r="R72" s="236"/>
      <c r="S72" s="226" t="s">
        <v>15</v>
      </c>
      <c r="T72" s="218" t="s">
        <v>57</v>
      </c>
    </row>
    <row r="73" spans="1:20">
      <c r="A73" s="225"/>
      <c r="B73" s="226"/>
      <c r="C73" s="226"/>
      <c r="D73" s="226"/>
      <c r="E73" s="221" t="s">
        <v>4</v>
      </c>
      <c r="F73" s="222" t="s">
        <v>5</v>
      </c>
      <c r="G73" s="223" t="s">
        <v>6</v>
      </c>
      <c r="H73" s="223"/>
      <c r="I73" s="223"/>
      <c r="J73" s="223"/>
      <c r="K73" s="224" t="s">
        <v>7</v>
      </c>
      <c r="L73" s="224" t="s">
        <v>8</v>
      </c>
      <c r="M73" s="233"/>
      <c r="N73" s="233"/>
      <c r="O73" s="226"/>
      <c r="P73" s="225" t="s">
        <v>10</v>
      </c>
      <c r="Q73" s="226" t="s">
        <v>85</v>
      </c>
      <c r="R73" s="225" t="s">
        <v>14</v>
      </c>
      <c r="S73" s="226"/>
      <c r="T73" s="219"/>
    </row>
    <row r="74" spans="1:20" ht="42">
      <c r="A74" s="225"/>
      <c r="B74" s="226"/>
      <c r="C74" s="226"/>
      <c r="D74" s="226"/>
      <c r="E74" s="221"/>
      <c r="F74" s="222"/>
      <c r="G74" s="128" t="s">
        <v>26</v>
      </c>
      <c r="H74" s="128" t="s">
        <v>86</v>
      </c>
      <c r="I74" s="20" t="s">
        <v>24</v>
      </c>
      <c r="J74" s="18" t="s">
        <v>25</v>
      </c>
      <c r="K74" s="224"/>
      <c r="L74" s="224"/>
      <c r="M74" s="233"/>
      <c r="N74" s="233"/>
      <c r="O74" s="226"/>
      <c r="P74" s="225"/>
      <c r="Q74" s="226"/>
      <c r="R74" s="225"/>
      <c r="S74" s="226"/>
      <c r="T74" s="220"/>
    </row>
    <row r="75" spans="1:20">
      <c r="A75" s="4" t="s">
        <v>16</v>
      </c>
      <c r="B75" s="4" t="s">
        <v>17</v>
      </c>
      <c r="C75" s="4" t="s">
        <v>18</v>
      </c>
      <c r="D75" s="4" t="s">
        <v>19</v>
      </c>
      <c r="E75" s="13">
        <v>1</v>
      </c>
      <c r="F75" s="13">
        <v>2</v>
      </c>
      <c r="G75" s="13">
        <v>3</v>
      </c>
      <c r="H75" s="13">
        <v>4</v>
      </c>
      <c r="I75" s="13">
        <v>5</v>
      </c>
      <c r="J75" s="23">
        <v>6</v>
      </c>
      <c r="K75" s="4">
        <v>7</v>
      </c>
      <c r="L75" s="4">
        <v>8</v>
      </c>
      <c r="M75" s="4">
        <v>9</v>
      </c>
      <c r="N75" s="4">
        <v>10</v>
      </c>
      <c r="O75" s="30" t="s">
        <v>87</v>
      </c>
      <c r="P75" s="30">
        <v>12</v>
      </c>
      <c r="Q75" s="30">
        <v>13</v>
      </c>
      <c r="R75" s="30">
        <v>14</v>
      </c>
      <c r="S75" s="30" t="s">
        <v>88</v>
      </c>
      <c r="T75" s="2"/>
    </row>
    <row r="76" spans="1:20">
      <c r="A76" s="21">
        <v>1</v>
      </c>
      <c r="B76" s="39" t="s">
        <v>89</v>
      </c>
      <c r="C76" s="42" t="s">
        <v>60</v>
      </c>
      <c r="D76" s="46" t="s">
        <v>61</v>
      </c>
      <c r="E76" s="47">
        <v>5.0199999999999996</v>
      </c>
      <c r="F76" s="47">
        <v>0.35</v>
      </c>
      <c r="G76" s="25"/>
      <c r="H76" s="22"/>
      <c r="I76" s="48"/>
      <c r="J76" s="49">
        <f>30/100*(E76+F76+G76)</f>
        <v>1.6109999999999998</v>
      </c>
      <c r="K76" s="50">
        <f>E76+F76+G76+H76+I76+J76</f>
        <v>6.980999999999999</v>
      </c>
      <c r="L76" s="51">
        <f>K76*1490000</f>
        <v>10401689.999999998</v>
      </c>
      <c r="M76" s="52"/>
      <c r="N76" s="52"/>
      <c r="O76" s="51">
        <f>L76-M76+N76</f>
        <v>10401689.999999998</v>
      </c>
      <c r="P76" s="53">
        <f>((E76+F76+G76+I76)*1490000-M76)*10.5%</f>
        <v>840136.49999999988</v>
      </c>
      <c r="Q76" s="54"/>
      <c r="R76" s="53">
        <f>P76+Q76</f>
        <v>840136.49999999988</v>
      </c>
      <c r="S76" s="53">
        <f t="shared" ref="S76:S77" si="26">O76-R76</f>
        <v>9561553.4999999981</v>
      </c>
      <c r="T76" s="41"/>
    </row>
    <row r="77" spans="1:20" ht="15.75">
      <c r="A77" s="21">
        <v>2</v>
      </c>
      <c r="B77" s="39" t="s">
        <v>21</v>
      </c>
      <c r="C77" s="40" t="s">
        <v>28</v>
      </c>
      <c r="D77" s="55" t="s">
        <v>27</v>
      </c>
      <c r="E77" s="24">
        <v>4.9800000000000004</v>
      </c>
      <c r="F77" s="56"/>
      <c r="G77" s="57">
        <f>E77*6%</f>
        <v>0.29880000000000001</v>
      </c>
      <c r="H77" s="10"/>
      <c r="I77" s="48"/>
      <c r="J77" s="49">
        <f>30/100*(E77+F77+G77)</f>
        <v>1.5836400000000002</v>
      </c>
      <c r="K77" s="50">
        <f>E77+F77+G77+H77+I77+J77</f>
        <v>6.8624400000000003</v>
      </c>
      <c r="L77" s="51">
        <f>K77*1490000</f>
        <v>10225035.6</v>
      </c>
      <c r="M77" s="58"/>
      <c r="N77" s="58"/>
      <c r="O77" s="51">
        <f>L77-M77+N77</f>
        <v>10225035.6</v>
      </c>
      <c r="P77" s="53">
        <f>((E77+F77+G77+I77)*1490000-M77)*10.5%</f>
        <v>825868.26</v>
      </c>
      <c r="Q77" s="54"/>
      <c r="R77" s="53">
        <f t="shared" ref="R77:R112" si="27">P77+Q77</f>
        <v>825868.26</v>
      </c>
      <c r="S77" s="53">
        <f t="shared" si="26"/>
        <v>9399167.3399999999</v>
      </c>
      <c r="T77" s="59">
        <v>0.06</v>
      </c>
    </row>
    <row r="78" spans="1:20" ht="15.75">
      <c r="A78" s="21">
        <v>3</v>
      </c>
      <c r="B78" s="39" t="s">
        <v>22</v>
      </c>
      <c r="C78" s="40" t="s">
        <v>30</v>
      </c>
      <c r="D78" s="55" t="s">
        <v>90</v>
      </c>
      <c r="E78" s="24">
        <v>4.8899999999999997</v>
      </c>
      <c r="F78" s="47">
        <v>0.15</v>
      </c>
      <c r="G78" s="57"/>
      <c r="H78" s="10"/>
      <c r="I78" s="48"/>
      <c r="J78" s="49">
        <f>30/100*(E78+F78+G78)</f>
        <v>1.512</v>
      </c>
      <c r="K78" s="50">
        <f t="shared" ref="K78:K106" si="28">E78+F78+G78+H78+I78+J78</f>
        <v>6.5519999999999996</v>
      </c>
      <c r="L78" s="51">
        <f t="shared" ref="L78:L108" si="29">K78*1490000</f>
        <v>9762480</v>
      </c>
      <c r="M78" s="58"/>
      <c r="N78" s="58"/>
      <c r="O78" s="51">
        <f t="shared" ref="O78:O95" si="30">L78-M78+N78</f>
        <v>9762480</v>
      </c>
      <c r="P78" s="53">
        <f t="shared" ref="P78:P85" si="31">((E78+F78+G78+I78)*1490000-M78)*10.5%</f>
        <v>788508</v>
      </c>
      <c r="Q78" s="54"/>
      <c r="R78" s="53">
        <f t="shared" si="27"/>
        <v>788508</v>
      </c>
      <c r="S78" s="53">
        <f>O78-R78</f>
        <v>8973972</v>
      </c>
      <c r="T78" s="2"/>
    </row>
    <row r="79" spans="1:20" ht="15.75">
      <c r="A79" s="21">
        <v>4</v>
      </c>
      <c r="B79" s="39" t="s">
        <v>21</v>
      </c>
      <c r="C79" s="40" t="s">
        <v>32</v>
      </c>
      <c r="D79" s="55" t="s">
        <v>29</v>
      </c>
      <c r="E79" s="24">
        <v>4.9800000000000004</v>
      </c>
      <c r="F79" s="47">
        <v>0.2</v>
      </c>
      <c r="G79" s="57">
        <f>E79*5%</f>
        <v>0.24900000000000003</v>
      </c>
      <c r="H79" s="10"/>
      <c r="I79" s="48"/>
      <c r="J79" s="49">
        <f t="shared" ref="J79" si="32">30/100*(E79+F79+G79)</f>
        <v>1.6287</v>
      </c>
      <c r="K79" s="50">
        <f t="shared" si="28"/>
        <v>7.0577000000000005</v>
      </c>
      <c r="L79" s="51">
        <f t="shared" si="29"/>
        <v>10515973</v>
      </c>
      <c r="M79" s="58"/>
      <c r="N79" s="58"/>
      <c r="O79" s="51">
        <f t="shared" si="30"/>
        <v>10515973</v>
      </c>
      <c r="P79" s="53">
        <f t="shared" si="31"/>
        <v>849367.04999999993</v>
      </c>
      <c r="Q79" s="54"/>
      <c r="R79" s="53">
        <f t="shared" si="27"/>
        <v>849367.04999999993</v>
      </c>
      <c r="S79" s="53">
        <f t="shared" ref="S79:S81" si="33">O79-R79</f>
        <v>9666605.9499999993</v>
      </c>
      <c r="T79" s="59">
        <v>0.05</v>
      </c>
    </row>
    <row r="80" spans="1:20" ht="15.75">
      <c r="A80" s="21">
        <v>5</v>
      </c>
      <c r="B80" s="39" t="s">
        <v>21</v>
      </c>
      <c r="C80" s="40" t="s">
        <v>82</v>
      </c>
      <c r="D80" s="55" t="s">
        <v>29</v>
      </c>
      <c r="E80" s="24">
        <v>4.9800000000000004</v>
      </c>
      <c r="F80" s="47">
        <v>0.2</v>
      </c>
      <c r="G80" s="57">
        <f>E80*6%</f>
        <v>0.29880000000000001</v>
      </c>
      <c r="H80" s="10"/>
      <c r="I80" s="48"/>
      <c r="J80" s="49">
        <f>30/100*(E80+F80+G80)</f>
        <v>1.6436400000000002</v>
      </c>
      <c r="K80" s="50">
        <f t="shared" si="28"/>
        <v>7.122440000000001</v>
      </c>
      <c r="L80" s="51">
        <f t="shared" si="29"/>
        <v>10612435.600000001</v>
      </c>
      <c r="M80" s="58"/>
      <c r="N80" s="58"/>
      <c r="O80" s="51">
        <f t="shared" si="30"/>
        <v>10612435.600000001</v>
      </c>
      <c r="P80" s="53">
        <f t="shared" si="31"/>
        <v>857158.26</v>
      </c>
      <c r="Q80" s="54"/>
      <c r="R80" s="53">
        <f t="shared" si="27"/>
        <v>857158.26</v>
      </c>
      <c r="S80" s="53">
        <f t="shared" si="33"/>
        <v>9755277.3400000017</v>
      </c>
      <c r="T80" s="59">
        <v>0.06</v>
      </c>
    </row>
    <row r="81" spans="1:20" ht="15.75">
      <c r="A81" s="21">
        <v>6</v>
      </c>
      <c r="B81" s="39" t="s">
        <v>21</v>
      </c>
      <c r="C81" s="40" t="s">
        <v>84</v>
      </c>
      <c r="D81" s="55" t="s">
        <v>62</v>
      </c>
      <c r="E81" s="24">
        <v>4.6500000000000004</v>
      </c>
      <c r="F81" s="47">
        <v>0.25</v>
      </c>
      <c r="G81" s="14"/>
      <c r="H81" s="10"/>
      <c r="I81" s="48"/>
      <c r="J81" s="49">
        <f t="shared" ref="J81" si="34">30/100*(E81+F81+G81)</f>
        <v>1.47</v>
      </c>
      <c r="K81" s="50">
        <f t="shared" si="28"/>
        <v>6.37</v>
      </c>
      <c r="L81" s="51">
        <f t="shared" si="29"/>
        <v>9491300</v>
      </c>
      <c r="M81" s="58"/>
      <c r="N81" s="58"/>
      <c r="O81" s="51">
        <f t="shared" si="30"/>
        <v>9491300</v>
      </c>
      <c r="P81" s="53">
        <f t="shared" si="31"/>
        <v>766605.00000000012</v>
      </c>
      <c r="Q81" s="54"/>
      <c r="R81" s="53">
        <f t="shared" si="27"/>
        <v>766605.00000000012</v>
      </c>
      <c r="S81" s="53">
        <f t="shared" si="33"/>
        <v>8724695</v>
      </c>
      <c r="T81" s="41"/>
    </row>
    <row r="82" spans="1:20" ht="15.75">
      <c r="A82" s="21">
        <v>7</v>
      </c>
      <c r="B82" s="39" t="s">
        <v>22</v>
      </c>
      <c r="C82" s="42" t="s">
        <v>31</v>
      </c>
      <c r="D82" s="55" t="s">
        <v>27</v>
      </c>
      <c r="E82" s="24">
        <v>4.8899999999999997</v>
      </c>
      <c r="F82" s="47"/>
      <c r="G82" s="57"/>
      <c r="H82" s="10"/>
      <c r="I82" s="48"/>
      <c r="J82" s="49">
        <f>30/100*(E82+F82+G82)</f>
        <v>1.4669999999999999</v>
      </c>
      <c r="K82" s="50">
        <f t="shared" si="28"/>
        <v>6.3569999999999993</v>
      </c>
      <c r="L82" s="51">
        <f t="shared" si="29"/>
        <v>9471929.9999999981</v>
      </c>
      <c r="M82" s="58"/>
      <c r="N82" s="58"/>
      <c r="O82" s="51">
        <f t="shared" si="30"/>
        <v>9471929.9999999981</v>
      </c>
      <c r="P82" s="53">
        <f t="shared" si="31"/>
        <v>765040.49999999988</v>
      </c>
      <c r="Q82" s="54"/>
      <c r="R82" s="53">
        <f t="shared" si="27"/>
        <v>765040.49999999988</v>
      </c>
      <c r="S82" s="53">
        <f>O82-R82</f>
        <v>8706889.4999999981</v>
      </c>
      <c r="T82" s="41"/>
    </row>
    <row r="83" spans="1:20" ht="15.75">
      <c r="A83" s="21">
        <v>8</v>
      </c>
      <c r="B83" s="39" t="s">
        <v>21</v>
      </c>
      <c r="C83" s="26" t="s">
        <v>70</v>
      </c>
      <c r="D83" s="55" t="s">
        <v>27</v>
      </c>
      <c r="E83" s="24">
        <v>4.6500000000000004</v>
      </c>
      <c r="F83" s="47"/>
      <c r="G83" s="14"/>
      <c r="H83" s="10"/>
      <c r="I83" s="48"/>
      <c r="J83" s="49">
        <f t="shared" ref="J83:J85" si="35">30/100*(E83+F83+G83)</f>
        <v>1.395</v>
      </c>
      <c r="K83" s="50">
        <f t="shared" si="28"/>
        <v>6.0449999999999999</v>
      </c>
      <c r="L83" s="51">
        <f t="shared" si="29"/>
        <v>9007050</v>
      </c>
      <c r="M83" s="58"/>
      <c r="N83" s="58"/>
      <c r="O83" s="51">
        <f t="shared" si="30"/>
        <v>9007050</v>
      </c>
      <c r="P83" s="53">
        <f t="shared" si="31"/>
        <v>727492.50000000012</v>
      </c>
      <c r="Q83" s="54"/>
      <c r="R83" s="53">
        <f t="shared" si="27"/>
        <v>727492.50000000012</v>
      </c>
      <c r="S83" s="53">
        <f t="shared" ref="S83:S86" si="36">O83-R83</f>
        <v>8279557.5</v>
      </c>
      <c r="T83" s="41"/>
    </row>
    <row r="84" spans="1:20" ht="15.75">
      <c r="A84" s="21">
        <v>9</v>
      </c>
      <c r="B84" s="39" t="s">
        <v>21</v>
      </c>
      <c r="C84" s="26" t="s">
        <v>33</v>
      </c>
      <c r="D84" s="55" t="s">
        <v>29</v>
      </c>
      <c r="E84" s="24">
        <v>4.6500000000000004</v>
      </c>
      <c r="F84" s="47">
        <v>0.2</v>
      </c>
      <c r="G84" s="14"/>
      <c r="H84" s="10"/>
      <c r="I84" s="48"/>
      <c r="J84" s="49">
        <f t="shared" si="35"/>
        <v>1.4550000000000001</v>
      </c>
      <c r="K84" s="50">
        <f t="shared" si="28"/>
        <v>6.3050000000000006</v>
      </c>
      <c r="L84" s="51">
        <f t="shared" si="29"/>
        <v>9394450</v>
      </c>
      <c r="M84" s="58"/>
      <c r="N84" s="58"/>
      <c r="O84" s="51">
        <f t="shared" si="30"/>
        <v>9394450</v>
      </c>
      <c r="P84" s="53">
        <f t="shared" si="31"/>
        <v>758782.50000000012</v>
      </c>
      <c r="Q84" s="54"/>
      <c r="R84" s="53">
        <f t="shared" si="27"/>
        <v>758782.50000000012</v>
      </c>
      <c r="S84" s="53">
        <f t="shared" si="36"/>
        <v>8635667.5</v>
      </c>
      <c r="T84" s="41"/>
    </row>
    <row r="85" spans="1:20" ht="15.75">
      <c r="A85" s="21">
        <v>10</v>
      </c>
      <c r="B85" s="39" t="s">
        <v>21</v>
      </c>
      <c r="C85" s="26" t="s">
        <v>34</v>
      </c>
      <c r="D85" s="55" t="s">
        <v>27</v>
      </c>
      <c r="E85" s="24">
        <v>4.32</v>
      </c>
      <c r="F85" s="47"/>
      <c r="G85" s="14"/>
      <c r="H85" s="10"/>
      <c r="I85" s="48"/>
      <c r="J85" s="49">
        <f t="shared" si="35"/>
        <v>1.296</v>
      </c>
      <c r="K85" s="50">
        <f t="shared" si="28"/>
        <v>5.6160000000000005</v>
      </c>
      <c r="L85" s="51">
        <f t="shared" si="29"/>
        <v>8367840.0000000009</v>
      </c>
      <c r="M85" s="58"/>
      <c r="N85" s="58"/>
      <c r="O85" s="51">
        <f t="shared" si="30"/>
        <v>8367840.0000000009</v>
      </c>
      <c r="P85" s="53">
        <f t="shared" si="31"/>
        <v>675864</v>
      </c>
      <c r="Q85" s="54"/>
      <c r="R85" s="53">
        <f t="shared" si="27"/>
        <v>675864</v>
      </c>
      <c r="S85" s="53">
        <f t="shared" si="36"/>
        <v>7691976.0000000009</v>
      </c>
      <c r="T85" s="41"/>
    </row>
    <row r="86" spans="1:20">
      <c r="A86" s="21">
        <v>11</v>
      </c>
      <c r="B86" s="39" t="s">
        <v>21</v>
      </c>
      <c r="C86" s="42" t="s">
        <v>36</v>
      </c>
      <c r="D86" s="55" t="s">
        <v>29</v>
      </c>
      <c r="E86" s="24">
        <v>4.32</v>
      </c>
      <c r="F86" s="47">
        <v>0.2</v>
      </c>
      <c r="G86" s="33"/>
      <c r="H86" s="35"/>
      <c r="I86" s="48"/>
      <c r="J86" s="49">
        <f>30/100*(E86+F86+G86)</f>
        <v>1.3560000000000001</v>
      </c>
      <c r="K86" s="50">
        <f t="shared" si="28"/>
        <v>5.8760000000000003</v>
      </c>
      <c r="L86" s="51">
        <f t="shared" si="29"/>
        <v>8755240</v>
      </c>
      <c r="M86" s="58"/>
      <c r="N86" s="58"/>
      <c r="O86" s="51">
        <f t="shared" si="30"/>
        <v>8755240</v>
      </c>
      <c r="P86" s="53">
        <f>((E86+F86+G86+I86)*1490000-M86)*10.5%</f>
        <v>707154.00000000012</v>
      </c>
      <c r="Q86" s="54"/>
      <c r="R86" s="53">
        <f t="shared" si="27"/>
        <v>707154.00000000012</v>
      </c>
      <c r="S86" s="53">
        <f t="shared" si="36"/>
        <v>8048086</v>
      </c>
      <c r="T86" s="2"/>
    </row>
    <row r="87" spans="1:20">
      <c r="A87" s="21">
        <v>12</v>
      </c>
      <c r="B87" s="39" t="s">
        <v>64</v>
      </c>
      <c r="C87" s="26" t="s">
        <v>59</v>
      </c>
      <c r="D87" s="55" t="s">
        <v>35</v>
      </c>
      <c r="E87" s="24">
        <v>4.2699999999999996</v>
      </c>
      <c r="F87" s="47">
        <v>0.2</v>
      </c>
      <c r="G87" s="33"/>
      <c r="H87" s="34">
        <v>0.1</v>
      </c>
      <c r="I87" s="48"/>
      <c r="J87" s="49"/>
      <c r="K87" s="50">
        <f t="shared" si="28"/>
        <v>4.5699999999999994</v>
      </c>
      <c r="L87" s="51">
        <f t="shared" si="29"/>
        <v>6809299.9999999991</v>
      </c>
      <c r="M87" s="58"/>
      <c r="N87" s="58"/>
      <c r="O87" s="51">
        <f t="shared" si="30"/>
        <v>6809299.9999999991</v>
      </c>
      <c r="P87" s="53">
        <f>((E87+F87+G87+I87)*1490000-M87)*10.5%</f>
        <v>699331.5</v>
      </c>
      <c r="Q87" s="54"/>
      <c r="R87" s="53">
        <f t="shared" si="27"/>
        <v>699331.5</v>
      </c>
      <c r="S87" s="53">
        <f>O87-R87</f>
        <v>6109968.4999999991</v>
      </c>
      <c r="T87" s="2"/>
    </row>
    <row r="88" spans="1:20">
      <c r="A88" s="21">
        <v>13</v>
      </c>
      <c r="B88" s="39" t="s">
        <v>21</v>
      </c>
      <c r="C88" s="40" t="s">
        <v>69</v>
      </c>
      <c r="D88" s="55" t="s">
        <v>27</v>
      </c>
      <c r="E88" s="24">
        <v>4.32</v>
      </c>
      <c r="F88" s="47"/>
      <c r="G88" s="33"/>
      <c r="H88" s="35"/>
      <c r="I88" s="48"/>
      <c r="J88" s="49">
        <f>30/100*(E88+F88+G88)</f>
        <v>1.296</v>
      </c>
      <c r="K88" s="50">
        <f t="shared" si="28"/>
        <v>5.6160000000000005</v>
      </c>
      <c r="L88" s="51">
        <f t="shared" si="29"/>
        <v>8367840.0000000009</v>
      </c>
      <c r="M88" s="58"/>
      <c r="N88" s="58"/>
      <c r="O88" s="51">
        <f t="shared" si="30"/>
        <v>8367840.0000000009</v>
      </c>
      <c r="P88" s="53">
        <f t="shared" ref="P88:P106" si="37">((E88+F88+G88+I88)*1490000-M88)*10.5%</f>
        <v>675864</v>
      </c>
      <c r="Q88" s="54"/>
      <c r="R88" s="53">
        <f t="shared" si="27"/>
        <v>675864</v>
      </c>
      <c r="S88" s="53">
        <f t="shared" ref="S88:S95" si="38">O88-R88</f>
        <v>7691976.0000000009</v>
      </c>
      <c r="T88" s="2"/>
    </row>
    <row r="89" spans="1:20">
      <c r="A89" s="21">
        <v>14</v>
      </c>
      <c r="B89" s="39" t="s">
        <v>21</v>
      </c>
      <c r="C89" s="40" t="s">
        <v>37</v>
      </c>
      <c r="D89" s="55" t="s">
        <v>27</v>
      </c>
      <c r="E89" s="24">
        <v>4.32</v>
      </c>
      <c r="F89" s="24"/>
      <c r="G89" s="33"/>
      <c r="H89" s="35"/>
      <c r="I89" s="48"/>
      <c r="J89" s="49">
        <f>30/100*(E89+F89+G89)</f>
        <v>1.296</v>
      </c>
      <c r="K89" s="50">
        <f t="shared" si="28"/>
        <v>5.6160000000000005</v>
      </c>
      <c r="L89" s="51">
        <f t="shared" si="29"/>
        <v>8367840.0000000009</v>
      </c>
      <c r="M89" s="58"/>
      <c r="N89" s="58"/>
      <c r="O89" s="51">
        <f t="shared" si="30"/>
        <v>8367840.0000000009</v>
      </c>
      <c r="P89" s="53">
        <f t="shared" si="37"/>
        <v>675864</v>
      </c>
      <c r="Q89" s="54"/>
      <c r="R89" s="53">
        <f t="shared" si="27"/>
        <v>675864</v>
      </c>
      <c r="S89" s="53">
        <f t="shared" si="38"/>
        <v>7691976.0000000009</v>
      </c>
      <c r="T89" s="2"/>
    </row>
    <row r="90" spans="1:20">
      <c r="A90" s="21">
        <v>15</v>
      </c>
      <c r="B90" s="39" t="s">
        <v>21</v>
      </c>
      <c r="C90" s="40" t="s">
        <v>71</v>
      </c>
      <c r="D90" s="55" t="s">
        <v>27</v>
      </c>
      <c r="E90" s="24">
        <v>4.32</v>
      </c>
      <c r="F90" s="24"/>
      <c r="G90" s="33"/>
      <c r="H90" s="35"/>
      <c r="I90" s="48"/>
      <c r="J90" s="49">
        <f t="shared" ref="J90:J92" si="39">30/100*(E90+F90+G90)</f>
        <v>1.296</v>
      </c>
      <c r="K90" s="50">
        <f t="shared" si="28"/>
        <v>5.6160000000000005</v>
      </c>
      <c r="L90" s="51">
        <f t="shared" si="29"/>
        <v>8367840.0000000009</v>
      </c>
      <c r="M90" s="58"/>
      <c r="N90" s="58"/>
      <c r="O90" s="51">
        <f t="shared" si="30"/>
        <v>8367840.0000000009</v>
      </c>
      <c r="P90" s="53">
        <f t="shared" si="37"/>
        <v>675864</v>
      </c>
      <c r="Q90" s="54"/>
      <c r="R90" s="53">
        <f t="shared" si="27"/>
        <v>675864</v>
      </c>
      <c r="S90" s="53">
        <f t="shared" si="38"/>
        <v>7691976.0000000009</v>
      </c>
      <c r="T90" s="41"/>
    </row>
    <row r="91" spans="1:20">
      <c r="A91" s="21">
        <v>16</v>
      </c>
      <c r="B91" s="39" t="s">
        <v>21</v>
      </c>
      <c r="C91" s="40" t="s">
        <v>38</v>
      </c>
      <c r="D91" s="55" t="s">
        <v>27</v>
      </c>
      <c r="E91" s="24">
        <v>4.32</v>
      </c>
      <c r="F91" s="24"/>
      <c r="G91" s="33"/>
      <c r="H91" s="35"/>
      <c r="I91" s="48"/>
      <c r="J91" s="49">
        <f t="shared" si="39"/>
        <v>1.296</v>
      </c>
      <c r="K91" s="50">
        <f t="shared" si="28"/>
        <v>5.6160000000000005</v>
      </c>
      <c r="L91" s="51">
        <f t="shared" si="29"/>
        <v>8367840.0000000009</v>
      </c>
      <c r="M91" s="58"/>
      <c r="N91" s="58"/>
      <c r="O91" s="51">
        <f t="shared" si="30"/>
        <v>8367840.0000000009</v>
      </c>
      <c r="P91" s="53">
        <f t="shared" si="37"/>
        <v>675864</v>
      </c>
      <c r="Q91" s="54"/>
      <c r="R91" s="53">
        <f t="shared" si="27"/>
        <v>675864</v>
      </c>
      <c r="S91" s="53">
        <f t="shared" si="38"/>
        <v>7691976.0000000009</v>
      </c>
      <c r="T91" s="41"/>
    </row>
    <row r="92" spans="1:20">
      <c r="A92" s="21">
        <v>17</v>
      </c>
      <c r="B92" s="39" t="s">
        <v>21</v>
      </c>
      <c r="C92" s="40" t="s">
        <v>72</v>
      </c>
      <c r="D92" s="55" t="s">
        <v>27</v>
      </c>
      <c r="E92" s="24">
        <v>4.32</v>
      </c>
      <c r="F92" s="24"/>
      <c r="G92" s="33"/>
      <c r="H92" s="35"/>
      <c r="I92" s="48"/>
      <c r="J92" s="49">
        <f t="shared" si="39"/>
        <v>1.296</v>
      </c>
      <c r="K92" s="50">
        <f t="shared" si="28"/>
        <v>5.6160000000000005</v>
      </c>
      <c r="L92" s="51">
        <f t="shared" si="29"/>
        <v>8367840.0000000009</v>
      </c>
      <c r="M92" s="58"/>
      <c r="N92" s="58"/>
      <c r="O92" s="51">
        <f t="shared" si="30"/>
        <v>8367840.0000000009</v>
      </c>
      <c r="P92" s="53">
        <f t="shared" si="37"/>
        <v>675864</v>
      </c>
      <c r="Q92" s="54"/>
      <c r="R92" s="53">
        <f t="shared" si="27"/>
        <v>675864</v>
      </c>
      <c r="S92" s="53">
        <f t="shared" si="38"/>
        <v>7691976.0000000009</v>
      </c>
      <c r="T92" s="41"/>
    </row>
    <row r="93" spans="1:20">
      <c r="A93" s="21">
        <v>18</v>
      </c>
      <c r="B93" s="39" t="s">
        <v>21</v>
      </c>
      <c r="C93" s="40" t="s">
        <v>91</v>
      </c>
      <c r="D93" s="55" t="s">
        <v>27</v>
      </c>
      <c r="E93" s="24">
        <v>4.32</v>
      </c>
      <c r="F93" s="24">
        <v>0.15</v>
      </c>
      <c r="G93" s="60"/>
      <c r="H93" s="35"/>
      <c r="I93" s="48"/>
      <c r="J93" s="49">
        <f>30/100*(E93+F93+G93)</f>
        <v>1.3410000000000002</v>
      </c>
      <c r="K93" s="61">
        <f t="shared" si="28"/>
        <v>5.8110000000000008</v>
      </c>
      <c r="L93" s="62">
        <f t="shared" si="29"/>
        <v>8658390.0000000019</v>
      </c>
      <c r="M93" s="63"/>
      <c r="N93" s="63"/>
      <c r="O93" s="62">
        <f t="shared" si="30"/>
        <v>8658390.0000000019</v>
      </c>
      <c r="P93" s="64">
        <f t="shared" si="37"/>
        <v>699331.50000000012</v>
      </c>
      <c r="Q93" s="54"/>
      <c r="R93" s="64">
        <f t="shared" si="27"/>
        <v>699331.50000000012</v>
      </c>
      <c r="S93" s="64">
        <f t="shared" si="38"/>
        <v>7959058.5000000019</v>
      </c>
      <c r="T93" s="41"/>
    </row>
    <row r="94" spans="1:20">
      <c r="A94" s="21">
        <v>19</v>
      </c>
      <c r="B94" s="39" t="s">
        <v>21</v>
      </c>
      <c r="C94" s="40" t="s">
        <v>39</v>
      </c>
      <c r="D94" s="55" t="s">
        <v>27</v>
      </c>
      <c r="E94" s="24">
        <v>4.32</v>
      </c>
      <c r="F94" s="24"/>
      <c r="G94" s="33"/>
      <c r="H94" s="36"/>
      <c r="I94" s="48"/>
      <c r="J94" s="49">
        <f>30/100*(E94+F94+G94)</f>
        <v>1.296</v>
      </c>
      <c r="K94" s="50">
        <f t="shared" si="28"/>
        <v>5.6160000000000005</v>
      </c>
      <c r="L94" s="51">
        <f t="shared" si="29"/>
        <v>8367840.0000000009</v>
      </c>
      <c r="M94" s="58"/>
      <c r="N94" s="58"/>
      <c r="O94" s="51">
        <f t="shared" si="30"/>
        <v>8367840.0000000009</v>
      </c>
      <c r="P94" s="53">
        <f t="shared" si="37"/>
        <v>675864</v>
      </c>
      <c r="Q94" s="54"/>
      <c r="R94" s="53">
        <f t="shared" si="27"/>
        <v>675864</v>
      </c>
      <c r="S94" s="53">
        <f t="shared" si="38"/>
        <v>7691976.0000000009</v>
      </c>
      <c r="T94" s="41"/>
    </row>
    <row r="95" spans="1:20">
      <c r="A95" s="21">
        <v>20</v>
      </c>
      <c r="B95" s="39" t="s">
        <v>22</v>
      </c>
      <c r="C95" s="40" t="s">
        <v>40</v>
      </c>
      <c r="D95" s="55" t="s">
        <v>90</v>
      </c>
      <c r="E95" s="24">
        <v>3.96</v>
      </c>
      <c r="F95" s="24">
        <v>0.15</v>
      </c>
      <c r="G95" s="33"/>
      <c r="H95" s="36"/>
      <c r="I95" s="48"/>
      <c r="J95" s="49">
        <f t="shared" ref="J95" si="40">30/100*(E95+F95+G95)</f>
        <v>1.2330000000000001</v>
      </c>
      <c r="K95" s="50">
        <f t="shared" si="28"/>
        <v>5.343</v>
      </c>
      <c r="L95" s="51">
        <f t="shared" si="29"/>
        <v>7961070</v>
      </c>
      <c r="M95" s="58"/>
      <c r="N95" s="58"/>
      <c r="O95" s="51">
        <f t="shared" si="30"/>
        <v>7961070</v>
      </c>
      <c r="P95" s="53">
        <f t="shared" si="37"/>
        <v>643009.50000000012</v>
      </c>
      <c r="Q95" s="54"/>
      <c r="R95" s="53">
        <f t="shared" si="27"/>
        <v>643009.50000000012</v>
      </c>
      <c r="S95" s="53">
        <f t="shared" si="38"/>
        <v>7318060.5</v>
      </c>
      <c r="T95" s="41"/>
    </row>
    <row r="96" spans="1:20" ht="15.75">
      <c r="A96" s="21">
        <v>21</v>
      </c>
      <c r="B96" s="39" t="s">
        <v>21</v>
      </c>
      <c r="C96" s="40" t="s">
        <v>73</v>
      </c>
      <c r="D96" s="55" t="s">
        <v>27</v>
      </c>
      <c r="E96" s="24">
        <v>3.99</v>
      </c>
      <c r="F96" s="24"/>
      <c r="G96" s="14"/>
      <c r="H96" s="10"/>
      <c r="I96" s="48"/>
      <c r="J96" s="49">
        <f>30/100*(E96+F96+G96)</f>
        <v>1.1970000000000001</v>
      </c>
      <c r="K96" s="50">
        <f t="shared" si="28"/>
        <v>5.1870000000000003</v>
      </c>
      <c r="L96" s="51">
        <f t="shared" si="29"/>
        <v>7728630</v>
      </c>
      <c r="M96" s="65"/>
      <c r="N96" s="65"/>
      <c r="O96" s="51">
        <f>L96-M96+N96</f>
        <v>7728630</v>
      </c>
      <c r="P96" s="53">
        <f t="shared" si="37"/>
        <v>624235.5</v>
      </c>
      <c r="Q96" s="54"/>
      <c r="R96" s="53">
        <f t="shared" si="27"/>
        <v>624235.5</v>
      </c>
      <c r="S96" s="53">
        <f>O96-R96-N96</f>
        <v>7104394.5</v>
      </c>
      <c r="T96" s="41"/>
    </row>
    <row r="97" spans="1:20" ht="15.75">
      <c r="A97" s="21">
        <v>22</v>
      </c>
      <c r="B97" s="39" t="s">
        <v>21</v>
      </c>
      <c r="C97" s="40" t="s">
        <v>41</v>
      </c>
      <c r="D97" s="55" t="s">
        <v>27</v>
      </c>
      <c r="E97" s="24">
        <v>3.99</v>
      </c>
      <c r="F97" s="56"/>
      <c r="G97" s="14"/>
      <c r="H97" s="10"/>
      <c r="I97" s="48"/>
      <c r="J97" s="49">
        <f t="shared" ref="J97:J102" si="41">30/100*(E97+F97+G97)</f>
        <v>1.1970000000000001</v>
      </c>
      <c r="K97" s="50">
        <f t="shared" si="28"/>
        <v>5.1870000000000003</v>
      </c>
      <c r="L97" s="51">
        <f t="shared" si="29"/>
        <v>7728630</v>
      </c>
      <c r="M97" s="58"/>
      <c r="N97" s="58"/>
      <c r="O97" s="51">
        <f t="shared" ref="O97:O102" si="42">L97-M97+N97</f>
        <v>7728630</v>
      </c>
      <c r="P97" s="53">
        <f t="shared" si="37"/>
        <v>624235.5</v>
      </c>
      <c r="Q97" s="54"/>
      <c r="R97" s="53">
        <f t="shared" si="27"/>
        <v>624235.5</v>
      </c>
      <c r="S97" s="53">
        <f t="shared" ref="S97:S100" si="43">O97-R97</f>
        <v>7104394.5</v>
      </c>
      <c r="T97" s="41"/>
    </row>
    <row r="98" spans="1:20">
      <c r="A98" s="21">
        <v>23</v>
      </c>
      <c r="B98" s="39" t="s">
        <v>21</v>
      </c>
      <c r="C98" s="40" t="s">
        <v>42</v>
      </c>
      <c r="D98" s="55" t="s">
        <v>27</v>
      </c>
      <c r="E98" s="24">
        <v>3.99</v>
      </c>
      <c r="F98" s="56"/>
      <c r="G98" s="14"/>
      <c r="H98" s="24">
        <v>0.1</v>
      </c>
      <c r="I98" s="48"/>
      <c r="J98" s="49">
        <f t="shared" si="41"/>
        <v>1.1970000000000001</v>
      </c>
      <c r="K98" s="50">
        <f t="shared" si="28"/>
        <v>5.2869999999999999</v>
      </c>
      <c r="L98" s="51">
        <f t="shared" si="29"/>
        <v>7877630</v>
      </c>
      <c r="M98" s="58"/>
      <c r="N98" s="58"/>
      <c r="O98" s="51">
        <f t="shared" si="42"/>
        <v>7877630</v>
      </c>
      <c r="P98" s="53">
        <f t="shared" si="37"/>
        <v>624235.5</v>
      </c>
      <c r="Q98" s="54"/>
      <c r="R98" s="53">
        <f t="shared" si="27"/>
        <v>624235.5</v>
      </c>
      <c r="S98" s="53">
        <f t="shared" si="43"/>
        <v>7253394.5</v>
      </c>
      <c r="T98" s="41"/>
    </row>
    <row r="99" spans="1:20" ht="15.75">
      <c r="A99" s="21">
        <v>24</v>
      </c>
      <c r="B99" s="39" t="s">
        <v>21</v>
      </c>
      <c r="C99" s="26" t="s">
        <v>74</v>
      </c>
      <c r="D99" s="55" t="s">
        <v>27</v>
      </c>
      <c r="E99" s="24">
        <v>3.99</v>
      </c>
      <c r="F99" s="56"/>
      <c r="G99" s="14"/>
      <c r="H99" s="10"/>
      <c r="I99" s="66"/>
      <c r="J99" s="67">
        <f t="shared" si="41"/>
        <v>1.1970000000000001</v>
      </c>
      <c r="K99" s="68">
        <f t="shared" si="28"/>
        <v>5.1870000000000003</v>
      </c>
      <c r="L99" s="69">
        <f t="shared" si="29"/>
        <v>7728630</v>
      </c>
      <c r="M99" s="70"/>
      <c r="N99" s="70"/>
      <c r="O99" s="69">
        <f t="shared" si="42"/>
        <v>7728630</v>
      </c>
      <c r="P99" s="71">
        <f t="shared" si="37"/>
        <v>624235.5</v>
      </c>
      <c r="Q99" s="54"/>
      <c r="R99" s="71">
        <f t="shared" si="27"/>
        <v>624235.5</v>
      </c>
      <c r="S99" s="71">
        <f t="shared" si="43"/>
        <v>7104394.5</v>
      </c>
      <c r="T99" s="41"/>
    </row>
    <row r="100" spans="1:20" ht="15.75">
      <c r="A100" s="21">
        <v>25</v>
      </c>
      <c r="B100" s="72" t="s">
        <v>21</v>
      </c>
      <c r="C100" s="26" t="s">
        <v>43</v>
      </c>
      <c r="D100" s="55" t="s">
        <v>27</v>
      </c>
      <c r="E100" s="24">
        <v>3.99</v>
      </c>
      <c r="F100" s="56"/>
      <c r="G100" s="14"/>
      <c r="H100" s="10"/>
      <c r="I100" s="66"/>
      <c r="J100" s="67">
        <f t="shared" si="41"/>
        <v>1.1970000000000001</v>
      </c>
      <c r="K100" s="68">
        <f t="shared" si="28"/>
        <v>5.1870000000000003</v>
      </c>
      <c r="L100" s="69">
        <f t="shared" si="29"/>
        <v>7728630</v>
      </c>
      <c r="M100" s="70"/>
      <c r="N100" s="70"/>
      <c r="O100" s="69">
        <f t="shared" si="42"/>
        <v>7728630</v>
      </c>
      <c r="P100" s="71">
        <f t="shared" si="37"/>
        <v>624235.5</v>
      </c>
      <c r="Q100" s="54"/>
      <c r="R100" s="71">
        <f t="shared" si="27"/>
        <v>624235.5</v>
      </c>
      <c r="S100" s="71">
        <f t="shared" si="43"/>
        <v>7104394.5</v>
      </c>
      <c r="T100" s="41"/>
    </row>
    <row r="101" spans="1:20" ht="15.75">
      <c r="A101" s="21">
        <v>26</v>
      </c>
      <c r="B101" s="39" t="s">
        <v>21</v>
      </c>
      <c r="C101" s="26" t="s">
        <v>58</v>
      </c>
      <c r="D101" s="55" t="s">
        <v>27</v>
      </c>
      <c r="E101" s="24">
        <v>3.33</v>
      </c>
      <c r="F101" s="56"/>
      <c r="G101" s="14"/>
      <c r="H101" s="10"/>
      <c r="I101" s="48"/>
      <c r="J101" s="49">
        <f t="shared" si="41"/>
        <v>0.999</v>
      </c>
      <c r="K101" s="50">
        <f t="shared" si="28"/>
        <v>4.3289999999999997</v>
      </c>
      <c r="L101" s="51">
        <f t="shared" si="29"/>
        <v>6450210</v>
      </c>
      <c r="M101" s="58"/>
      <c r="N101" s="58"/>
      <c r="O101" s="51">
        <f t="shared" si="42"/>
        <v>6450210</v>
      </c>
      <c r="P101" s="53">
        <f t="shared" si="37"/>
        <v>520978.5</v>
      </c>
      <c r="Q101" s="54"/>
      <c r="R101" s="53">
        <f t="shared" si="27"/>
        <v>520978.5</v>
      </c>
      <c r="S101" s="53">
        <f>O101-R101</f>
        <v>5929231.5</v>
      </c>
      <c r="T101" s="41"/>
    </row>
    <row r="102" spans="1:20" ht="15.75">
      <c r="A102" s="21">
        <v>27</v>
      </c>
      <c r="B102" s="39" t="s">
        <v>21</v>
      </c>
      <c r="C102" s="40" t="s">
        <v>44</v>
      </c>
      <c r="D102" s="55" t="s">
        <v>27</v>
      </c>
      <c r="E102" s="24">
        <v>3.99</v>
      </c>
      <c r="F102" s="56"/>
      <c r="G102" s="14"/>
      <c r="H102" s="10"/>
      <c r="I102" s="48"/>
      <c r="J102" s="49">
        <f t="shared" si="41"/>
        <v>1.1970000000000001</v>
      </c>
      <c r="K102" s="50">
        <f t="shared" si="28"/>
        <v>5.1870000000000003</v>
      </c>
      <c r="L102" s="51">
        <f t="shared" si="29"/>
        <v>7728630</v>
      </c>
      <c r="M102" s="58"/>
      <c r="N102" s="58"/>
      <c r="O102" s="51">
        <f t="shared" si="42"/>
        <v>7728630</v>
      </c>
      <c r="P102" s="53">
        <f t="shared" si="37"/>
        <v>624235.5</v>
      </c>
      <c r="Q102" s="54"/>
      <c r="R102" s="53">
        <f t="shared" si="27"/>
        <v>624235.5</v>
      </c>
      <c r="S102" s="53">
        <f t="shared" ref="S102:S105" si="44">O102-R102</f>
        <v>7104394.5</v>
      </c>
      <c r="T102" s="41"/>
    </row>
    <row r="103" spans="1:20" ht="15.75">
      <c r="A103" s="21">
        <v>28</v>
      </c>
      <c r="B103" s="39" t="s">
        <v>53</v>
      </c>
      <c r="C103" s="73" t="s">
        <v>75</v>
      </c>
      <c r="D103" s="55" t="s">
        <v>83</v>
      </c>
      <c r="E103" s="74">
        <v>3.46</v>
      </c>
      <c r="F103" s="56">
        <v>0.15</v>
      </c>
      <c r="G103" s="14"/>
      <c r="H103" s="10"/>
      <c r="I103" s="48"/>
      <c r="J103" s="49"/>
      <c r="K103" s="50">
        <f t="shared" si="28"/>
        <v>3.61</v>
      </c>
      <c r="L103" s="51">
        <f t="shared" si="29"/>
        <v>5378900</v>
      </c>
      <c r="M103" s="65">
        <f>L103</f>
        <v>5378900</v>
      </c>
      <c r="N103" s="75"/>
      <c r="O103" s="51">
        <f>L103-M103+N103</f>
        <v>0</v>
      </c>
      <c r="P103" s="53">
        <f t="shared" si="37"/>
        <v>0</v>
      </c>
      <c r="Q103" s="54"/>
      <c r="R103" s="53">
        <f t="shared" si="27"/>
        <v>0</v>
      </c>
      <c r="S103" s="76">
        <f t="shared" si="44"/>
        <v>0</v>
      </c>
      <c r="T103" s="41" t="s">
        <v>166</v>
      </c>
    </row>
    <row r="104" spans="1:20" ht="15.75">
      <c r="A104" s="21">
        <v>29</v>
      </c>
      <c r="B104" s="39" t="s">
        <v>89</v>
      </c>
      <c r="C104" s="42" t="s">
        <v>46</v>
      </c>
      <c r="D104" s="55" t="s">
        <v>27</v>
      </c>
      <c r="E104" s="24">
        <v>4</v>
      </c>
      <c r="F104" s="24"/>
      <c r="G104" s="14"/>
      <c r="H104" s="10"/>
      <c r="I104" s="48"/>
      <c r="J104" s="49">
        <f t="shared" ref="J104:J105" si="45">30/100*(E104+F104+G104)</f>
        <v>1.2</v>
      </c>
      <c r="K104" s="50">
        <f t="shared" si="28"/>
        <v>5.2</v>
      </c>
      <c r="L104" s="51">
        <f t="shared" si="29"/>
        <v>7748000</v>
      </c>
      <c r="M104" s="58"/>
      <c r="N104" s="58"/>
      <c r="O104" s="51">
        <f t="shared" ref="O104:O112" si="46">L104-M104+N104</f>
        <v>7748000</v>
      </c>
      <c r="P104" s="53">
        <f t="shared" si="37"/>
        <v>625800</v>
      </c>
      <c r="Q104" s="54"/>
      <c r="R104" s="53">
        <f t="shared" si="27"/>
        <v>625800</v>
      </c>
      <c r="S104" s="76">
        <f t="shared" si="44"/>
        <v>7122200</v>
      </c>
      <c r="T104" s="41"/>
    </row>
    <row r="105" spans="1:20" ht="15.75">
      <c r="A105" s="21">
        <v>30</v>
      </c>
      <c r="B105" s="39" t="s">
        <v>21</v>
      </c>
      <c r="C105" s="40" t="s">
        <v>47</v>
      </c>
      <c r="D105" s="55" t="s">
        <v>27</v>
      </c>
      <c r="E105" s="24">
        <v>3.99</v>
      </c>
      <c r="F105" s="24"/>
      <c r="G105" s="14"/>
      <c r="H105" s="10"/>
      <c r="I105" s="48"/>
      <c r="J105" s="49">
        <f t="shared" si="45"/>
        <v>1.1970000000000001</v>
      </c>
      <c r="K105" s="50">
        <f t="shared" si="28"/>
        <v>5.1870000000000003</v>
      </c>
      <c r="L105" s="51">
        <f t="shared" si="29"/>
        <v>7728630</v>
      </c>
      <c r="M105" s="53"/>
      <c r="N105" s="58"/>
      <c r="O105" s="51">
        <f t="shared" si="46"/>
        <v>7728630</v>
      </c>
      <c r="P105" s="53">
        <f t="shared" si="37"/>
        <v>624235.5</v>
      </c>
      <c r="Q105" s="54"/>
      <c r="R105" s="53">
        <f t="shared" si="27"/>
        <v>624235.5</v>
      </c>
      <c r="S105" s="76">
        <f t="shared" si="44"/>
        <v>7104394.5</v>
      </c>
      <c r="T105" s="41"/>
    </row>
    <row r="106" spans="1:20" ht="15.75">
      <c r="A106" s="21">
        <v>31</v>
      </c>
      <c r="B106" s="39" t="s">
        <v>21</v>
      </c>
      <c r="C106" s="40" t="s">
        <v>48</v>
      </c>
      <c r="D106" s="55" t="s">
        <v>27</v>
      </c>
      <c r="E106" s="24">
        <v>3.66</v>
      </c>
      <c r="F106" s="24"/>
      <c r="G106" s="14"/>
      <c r="H106" s="10"/>
      <c r="I106" s="48"/>
      <c r="J106" s="49">
        <f>30/100*(E106+F106+G106)</f>
        <v>1.0980000000000001</v>
      </c>
      <c r="K106" s="50">
        <f t="shared" si="28"/>
        <v>4.758</v>
      </c>
      <c r="L106" s="51">
        <f t="shared" si="29"/>
        <v>7089420</v>
      </c>
      <c r="M106" s="53"/>
      <c r="N106" s="58"/>
      <c r="O106" s="51">
        <f t="shared" si="46"/>
        <v>7089420</v>
      </c>
      <c r="P106" s="53">
        <f t="shared" si="37"/>
        <v>572607</v>
      </c>
      <c r="Q106" s="54"/>
      <c r="R106" s="53">
        <f t="shared" si="27"/>
        <v>572607</v>
      </c>
      <c r="S106" s="76">
        <f>O106-R106</f>
        <v>6516813</v>
      </c>
      <c r="T106" s="41"/>
    </row>
    <row r="107" spans="1:20" ht="15.75">
      <c r="A107" s="21">
        <v>32</v>
      </c>
      <c r="B107" s="39" t="s">
        <v>21</v>
      </c>
      <c r="C107" s="40" t="s">
        <v>92</v>
      </c>
      <c r="D107" s="55" t="s">
        <v>27</v>
      </c>
      <c r="E107" s="24">
        <v>3.33</v>
      </c>
      <c r="F107" s="24"/>
      <c r="G107" s="14"/>
      <c r="H107" s="10"/>
      <c r="I107" s="48"/>
      <c r="J107" s="49">
        <f>30/100*(E107+F107+G107)</f>
        <v>0.999</v>
      </c>
      <c r="K107" s="50">
        <f>E107+F107+G107+H107+I107+J107</f>
        <v>4.3289999999999997</v>
      </c>
      <c r="L107" s="51">
        <f t="shared" si="29"/>
        <v>6450210</v>
      </c>
      <c r="M107" s="53"/>
      <c r="N107" s="53"/>
      <c r="O107" s="51">
        <f t="shared" si="46"/>
        <v>6450210</v>
      </c>
      <c r="P107" s="53">
        <f>((E107+F107+G107+I107)*1490000)*10.5%</f>
        <v>520978.5</v>
      </c>
      <c r="Q107" s="54"/>
      <c r="R107" s="53">
        <f t="shared" si="27"/>
        <v>520978.5</v>
      </c>
      <c r="S107" s="76">
        <f t="shared" ref="S107:S108" si="47">O107-R107</f>
        <v>5929231.5</v>
      </c>
      <c r="T107" s="41"/>
    </row>
    <row r="108" spans="1:20" ht="15.75">
      <c r="A108" s="21">
        <v>33</v>
      </c>
      <c r="B108" s="39" t="s">
        <v>21</v>
      </c>
      <c r="C108" s="40" t="s">
        <v>93</v>
      </c>
      <c r="D108" s="55" t="s">
        <v>27</v>
      </c>
      <c r="E108" s="24">
        <v>3.66</v>
      </c>
      <c r="F108" s="24"/>
      <c r="G108" s="14"/>
      <c r="H108" s="10"/>
      <c r="I108" s="48"/>
      <c r="J108" s="49">
        <f>30/100*(E108+F108+G108)</f>
        <v>1.0980000000000001</v>
      </c>
      <c r="K108" s="50">
        <f>E108+F108+G108+H108+I108+J108</f>
        <v>4.758</v>
      </c>
      <c r="L108" s="51">
        <f t="shared" si="29"/>
        <v>7089420</v>
      </c>
      <c r="M108" s="53"/>
      <c r="N108" s="53"/>
      <c r="O108" s="51">
        <f t="shared" si="46"/>
        <v>7089420</v>
      </c>
      <c r="P108" s="53">
        <f>((E108+F108+G108+I108)*1490000)*10.5%</f>
        <v>572607</v>
      </c>
      <c r="Q108" s="54"/>
      <c r="R108" s="53">
        <f t="shared" si="27"/>
        <v>572607</v>
      </c>
      <c r="S108" s="76">
        <f t="shared" si="47"/>
        <v>6516813</v>
      </c>
      <c r="T108" s="41"/>
    </row>
    <row r="109" spans="1:20" ht="15.75">
      <c r="A109" s="21">
        <v>34</v>
      </c>
      <c r="B109" s="39" t="s">
        <v>94</v>
      </c>
      <c r="C109" s="42" t="s">
        <v>95</v>
      </c>
      <c r="D109" s="77" t="s">
        <v>27</v>
      </c>
      <c r="E109" s="24">
        <v>3</v>
      </c>
      <c r="F109" s="24"/>
      <c r="G109" s="14"/>
      <c r="H109" s="11"/>
      <c r="I109" s="48"/>
      <c r="J109" s="49">
        <f>30/100*(E109+F109+G109)</f>
        <v>0.89999999999999991</v>
      </c>
      <c r="K109" s="50">
        <f>E109+F109+G109+H109+I109+J109</f>
        <v>3.9</v>
      </c>
      <c r="L109" s="51">
        <f>K109*1490000</f>
        <v>5811000</v>
      </c>
      <c r="M109" s="65"/>
      <c r="N109" s="65"/>
      <c r="O109" s="51">
        <f t="shared" si="46"/>
        <v>5811000</v>
      </c>
      <c r="P109" s="53">
        <f t="shared" ref="P109:P110" si="48">((E109+F109+G109+I109)*1490000-M109)*10.5%</f>
        <v>469350</v>
      </c>
      <c r="Q109" s="54"/>
      <c r="R109" s="53">
        <f t="shared" si="27"/>
        <v>469350</v>
      </c>
      <c r="S109" s="76">
        <f>O109-R109-N109</f>
        <v>5341650</v>
      </c>
      <c r="T109" s="41"/>
    </row>
    <row r="110" spans="1:20">
      <c r="A110" s="21">
        <v>35</v>
      </c>
      <c r="B110" s="39" t="s">
        <v>23</v>
      </c>
      <c r="C110" s="40" t="s">
        <v>49</v>
      </c>
      <c r="D110" s="55" t="s">
        <v>45</v>
      </c>
      <c r="E110" s="24">
        <v>3.34</v>
      </c>
      <c r="F110" s="24"/>
      <c r="G110" s="14"/>
      <c r="H110" s="24">
        <v>0.2</v>
      </c>
      <c r="I110" s="48"/>
      <c r="J110" s="49"/>
      <c r="K110" s="50">
        <f t="shared" ref="K110" si="49">E110+F110+G110+H110+I110+J110</f>
        <v>3.54</v>
      </c>
      <c r="L110" s="51">
        <f t="shared" ref="L110" si="50">K110*1490000</f>
        <v>5274600</v>
      </c>
      <c r="M110" s="53"/>
      <c r="N110" s="58"/>
      <c r="O110" s="51">
        <f t="shared" si="46"/>
        <v>5274600</v>
      </c>
      <c r="P110" s="53">
        <f t="shared" si="48"/>
        <v>522543</v>
      </c>
      <c r="Q110" s="54"/>
      <c r="R110" s="53">
        <f t="shared" si="27"/>
        <v>522543</v>
      </c>
      <c r="S110" s="76">
        <f>O110-R110</f>
        <v>4752057</v>
      </c>
      <c r="T110" s="41"/>
    </row>
    <row r="111" spans="1:20">
      <c r="A111" s="21">
        <v>36</v>
      </c>
      <c r="B111" s="39" t="s">
        <v>52</v>
      </c>
      <c r="C111" s="40" t="s">
        <v>50</v>
      </c>
      <c r="D111" s="77" t="s">
        <v>45</v>
      </c>
      <c r="E111" s="24">
        <v>2.86</v>
      </c>
      <c r="F111" s="24"/>
      <c r="G111" s="14"/>
      <c r="H111" s="24">
        <v>0.2</v>
      </c>
      <c r="I111" s="48"/>
      <c r="J111" s="49"/>
      <c r="K111" s="50">
        <f>E111+F111+G111+H111+I111+J111</f>
        <v>3.06</v>
      </c>
      <c r="L111" s="51">
        <f>K111*1490000</f>
        <v>4559400</v>
      </c>
      <c r="M111" s="53"/>
      <c r="N111" s="51"/>
      <c r="O111" s="51">
        <f t="shared" si="46"/>
        <v>4559400</v>
      </c>
      <c r="P111" s="53">
        <f>((E111+F111+G111+I111)*1490000)*10.5%</f>
        <v>447447</v>
      </c>
      <c r="Q111" s="53"/>
      <c r="R111" s="53">
        <f t="shared" si="27"/>
        <v>447447</v>
      </c>
      <c r="S111" s="76">
        <f>O111-R111</f>
        <v>4111953</v>
      </c>
      <c r="T111" s="41"/>
    </row>
    <row r="112" spans="1:20" ht="15.75">
      <c r="A112" s="21">
        <v>37</v>
      </c>
      <c r="B112" s="39" t="s">
        <v>54</v>
      </c>
      <c r="C112" s="40" t="s">
        <v>51</v>
      </c>
      <c r="D112" s="77" t="s">
        <v>96</v>
      </c>
      <c r="E112" s="24"/>
      <c r="F112" s="24"/>
      <c r="G112" s="14"/>
      <c r="H112" s="11"/>
      <c r="I112" s="48"/>
      <c r="J112" s="49"/>
      <c r="K112" s="50"/>
      <c r="L112" s="51">
        <v>3920000</v>
      </c>
      <c r="M112" s="53"/>
      <c r="N112" s="58"/>
      <c r="O112" s="51">
        <f t="shared" si="46"/>
        <v>3920000</v>
      </c>
      <c r="P112" s="53">
        <f>O112*10.5%</f>
        <v>411600</v>
      </c>
      <c r="Q112" s="53"/>
      <c r="R112" s="53">
        <f t="shared" si="27"/>
        <v>411600</v>
      </c>
      <c r="S112" s="76">
        <f>O112-R112</f>
        <v>3508400</v>
      </c>
      <c r="T112" s="2"/>
    </row>
    <row r="113" spans="1:20" ht="15.75">
      <c r="A113" s="2"/>
      <c r="B113" s="2"/>
      <c r="C113" s="3" t="s">
        <v>14</v>
      </c>
      <c r="D113" s="5"/>
      <c r="E113" s="27">
        <f t="shared" ref="E113" si="51">SUM(E76:E112)</f>
        <v>149.36999999999995</v>
      </c>
      <c r="F113" s="78">
        <f>SUM(F76:F112)</f>
        <v>2.1999999999999997</v>
      </c>
      <c r="G113" s="27">
        <f>SUM(G76:G112)</f>
        <v>0.84660000000000002</v>
      </c>
      <c r="H113" s="78">
        <f>SUM(H76:H112)</f>
        <v>0.60000000000000009</v>
      </c>
      <c r="I113" s="27">
        <f>SUM(I76:I112)</f>
        <v>0</v>
      </c>
      <c r="J113" s="27">
        <f t="shared" ref="J113" si="52">SUM(J76:J112)</f>
        <v>41.440980000000003</v>
      </c>
      <c r="K113" s="27">
        <f>SUM(K76:K112)</f>
        <v>194.45758000000009</v>
      </c>
      <c r="L113" s="28">
        <f t="shared" ref="L113:O113" si="53">SUM(L76:L112)</f>
        <v>293661794.19999999</v>
      </c>
      <c r="M113" s="75">
        <f t="shared" si="53"/>
        <v>5378900</v>
      </c>
      <c r="N113" s="75">
        <f t="shared" si="53"/>
        <v>0</v>
      </c>
      <c r="O113" s="28">
        <f t="shared" si="53"/>
        <v>288282894.19999999</v>
      </c>
      <c r="P113" s="28">
        <f>SUM(P76:P112)</f>
        <v>23692392.57</v>
      </c>
      <c r="Q113" s="28">
        <f>SUM(Q76:Q112)</f>
        <v>0</v>
      </c>
      <c r="R113" s="28">
        <f t="shared" ref="R113" si="54">SUM(R76:R112)</f>
        <v>23692392.57</v>
      </c>
      <c r="S113" s="32">
        <f>SUM(S76:S112)</f>
        <v>264590501.63</v>
      </c>
      <c r="T113" s="2"/>
    </row>
    <row r="114" spans="1:20">
      <c r="E114" s="9"/>
      <c r="F114" s="9"/>
      <c r="G114" s="9"/>
      <c r="H114" s="9"/>
      <c r="I114" s="19"/>
      <c r="J114" s="17"/>
    </row>
    <row r="115" spans="1:20">
      <c r="A115" s="1" t="s">
        <v>100</v>
      </c>
      <c r="D115" s="237" t="s">
        <v>165</v>
      </c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1:20" ht="15.75">
      <c r="A116" s="6"/>
      <c r="E116" s="9"/>
      <c r="F116" s="9"/>
      <c r="G116" s="9"/>
      <c r="H116" s="9"/>
      <c r="I116" s="19"/>
      <c r="J116" s="17"/>
      <c r="S116" s="15"/>
    </row>
    <row r="117" spans="1:20">
      <c r="A117" s="7"/>
      <c r="B117" s="7"/>
      <c r="C117" s="7"/>
      <c r="D117" s="211"/>
      <c r="E117" s="212"/>
      <c r="F117" s="212"/>
      <c r="G117" s="37"/>
      <c r="H117" s="37"/>
      <c r="I117" s="19"/>
      <c r="J117" s="17"/>
      <c r="N117" s="43"/>
      <c r="O117" s="43"/>
      <c r="P117" s="213" t="s">
        <v>163</v>
      </c>
      <c r="Q117" s="213"/>
      <c r="R117" s="213"/>
      <c r="S117" s="213"/>
    </row>
    <row r="118" spans="1:20">
      <c r="A118" s="214" t="s">
        <v>77</v>
      </c>
      <c r="B118" s="214"/>
      <c r="C118" s="214"/>
      <c r="D118" s="214"/>
      <c r="E118" s="214"/>
      <c r="F118" s="9"/>
      <c r="G118" s="44"/>
      <c r="H118" s="44"/>
      <c r="I118" s="19"/>
      <c r="J118" s="214" t="s">
        <v>79</v>
      </c>
      <c r="K118" s="214"/>
      <c r="L118" s="214"/>
      <c r="M118" s="214"/>
      <c r="P118" s="215" t="s">
        <v>65</v>
      </c>
      <c r="Q118" s="215"/>
      <c r="R118" s="215"/>
      <c r="S118" s="215"/>
    </row>
    <row r="119" spans="1:20">
      <c r="A119" s="216" t="s">
        <v>78</v>
      </c>
      <c r="B119" s="216"/>
      <c r="C119" s="216"/>
      <c r="D119" s="216"/>
      <c r="E119" s="9"/>
      <c r="F119" s="9"/>
      <c r="G119" s="9"/>
      <c r="H119" s="9"/>
      <c r="I119" s="19"/>
      <c r="J119" s="216" t="s">
        <v>80</v>
      </c>
      <c r="K119" s="216"/>
      <c r="L119" s="216"/>
      <c r="P119" s="217" t="s">
        <v>66</v>
      </c>
      <c r="Q119" s="217"/>
      <c r="R119" s="217"/>
      <c r="S119" s="217"/>
    </row>
    <row r="120" spans="1:20">
      <c r="E120" s="9"/>
      <c r="F120" s="9"/>
      <c r="G120" s="9"/>
      <c r="H120" s="9"/>
      <c r="I120" s="19"/>
      <c r="J120" s="17"/>
    </row>
    <row r="121" spans="1:20">
      <c r="C121" s="79"/>
      <c r="E121" s="9"/>
      <c r="F121" s="9"/>
      <c r="G121" s="9"/>
      <c r="H121" s="9"/>
      <c r="I121" s="19"/>
      <c r="J121" s="17"/>
    </row>
    <row r="122" spans="1:20">
      <c r="E122" s="9"/>
      <c r="F122" s="9"/>
      <c r="G122" s="9"/>
      <c r="H122" s="9"/>
      <c r="I122" s="19"/>
      <c r="J122" s="17"/>
      <c r="L122" s="12"/>
      <c r="P122" s="16"/>
    </row>
    <row r="123" spans="1:20">
      <c r="E123" s="9"/>
      <c r="F123" s="9"/>
      <c r="G123" s="9"/>
      <c r="H123" s="9"/>
      <c r="I123" s="19"/>
      <c r="J123" s="17"/>
    </row>
    <row r="124" spans="1:20" ht="15.75">
      <c r="B124" s="209" t="s">
        <v>97</v>
      </c>
      <c r="C124" s="209"/>
      <c r="D124" s="209"/>
      <c r="E124" s="9"/>
      <c r="F124" s="9"/>
      <c r="G124" s="9"/>
      <c r="H124" s="9"/>
      <c r="I124" s="19"/>
      <c r="J124" s="209" t="s">
        <v>59</v>
      </c>
      <c r="K124" s="209"/>
      <c r="L124" s="209"/>
      <c r="M124" s="209"/>
      <c r="P124" s="209" t="s">
        <v>81</v>
      </c>
      <c r="Q124" s="209"/>
      <c r="R124" s="209"/>
      <c r="S124" s="209"/>
    </row>
    <row r="139" spans="1:20" ht="15.75">
      <c r="A139" s="227" t="s">
        <v>55</v>
      </c>
      <c r="B139" s="227"/>
      <c r="C139" s="227"/>
      <c r="D139" s="227"/>
      <c r="E139" s="227"/>
      <c r="F139" s="227"/>
      <c r="G139" s="227"/>
      <c r="H139" s="227"/>
      <c r="I139" s="19"/>
      <c r="J139" s="17"/>
      <c r="Q139" s="228" t="s">
        <v>164</v>
      </c>
      <c r="R139" s="228"/>
      <c r="S139" s="228"/>
    </row>
    <row r="140" spans="1:20">
      <c r="A140" s="229" t="s">
        <v>67</v>
      </c>
      <c r="B140" s="229"/>
      <c r="C140" s="229"/>
      <c r="D140" s="229"/>
      <c r="E140" s="229"/>
      <c r="F140" s="229"/>
      <c r="G140" s="229"/>
      <c r="H140" s="9"/>
      <c r="I140" s="19"/>
      <c r="J140" s="17"/>
      <c r="R140" s="230" t="s">
        <v>68</v>
      </c>
      <c r="S140" s="230"/>
    </row>
    <row r="141" spans="1:20" ht="15.75">
      <c r="A141" s="227" t="s">
        <v>56</v>
      </c>
      <c r="B141" s="227"/>
      <c r="C141" s="227"/>
      <c r="D141" s="227"/>
      <c r="E141" s="227"/>
      <c r="F141" s="227"/>
      <c r="G141" s="227"/>
      <c r="H141" s="9"/>
      <c r="I141" s="19"/>
      <c r="J141" s="17"/>
      <c r="R141" s="29" t="s">
        <v>63</v>
      </c>
    </row>
    <row r="142" spans="1:20" ht="20.25">
      <c r="A142" s="231" t="s">
        <v>76</v>
      </c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</row>
    <row r="143" spans="1:20" ht="18.75">
      <c r="A143" s="232" t="s">
        <v>159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</row>
    <row r="144" spans="1:20">
      <c r="A144" s="225" t="s">
        <v>0</v>
      </c>
      <c r="B144" s="226" t="s">
        <v>1</v>
      </c>
      <c r="C144" s="226" t="s">
        <v>2</v>
      </c>
      <c r="D144" s="226" t="s">
        <v>3</v>
      </c>
      <c r="E144" s="226" t="s">
        <v>20</v>
      </c>
      <c r="F144" s="226"/>
      <c r="G144" s="226"/>
      <c r="H144" s="226"/>
      <c r="I144" s="226"/>
      <c r="J144" s="226"/>
      <c r="K144" s="226"/>
      <c r="L144" s="226"/>
      <c r="M144" s="233" t="s">
        <v>9</v>
      </c>
      <c r="N144" s="233" t="s">
        <v>11</v>
      </c>
      <c r="O144" s="226" t="s">
        <v>12</v>
      </c>
      <c r="P144" s="234" t="s">
        <v>13</v>
      </c>
      <c r="Q144" s="235"/>
      <c r="R144" s="236"/>
      <c r="S144" s="226" t="s">
        <v>15</v>
      </c>
      <c r="T144" s="218" t="s">
        <v>57</v>
      </c>
    </row>
    <row r="145" spans="1:20">
      <c r="A145" s="225"/>
      <c r="B145" s="226"/>
      <c r="C145" s="226"/>
      <c r="D145" s="226"/>
      <c r="E145" s="221" t="s">
        <v>4</v>
      </c>
      <c r="F145" s="222" t="s">
        <v>5</v>
      </c>
      <c r="G145" s="223" t="s">
        <v>6</v>
      </c>
      <c r="H145" s="223"/>
      <c r="I145" s="223"/>
      <c r="J145" s="223"/>
      <c r="K145" s="224" t="s">
        <v>7</v>
      </c>
      <c r="L145" s="224" t="s">
        <v>8</v>
      </c>
      <c r="M145" s="233"/>
      <c r="N145" s="233"/>
      <c r="O145" s="226"/>
      <c r="P145" s="225" t="s">
        <v>10</v>
      </c>
      <c r="Q145" s="226" t="s">
        <v>85</v>
      </c>
      <c r="R145" s="225" t="s">
        <v>14</v>
      </c>
      <c r="S145" s="226"/>
      <c r="T145" s="219"/>
    </row>
    <row r="146" spans="1:20" ht="42">
      <c r="A146" s="225"/>
      <c r="B146" s="226"/>
      <c r="C146" s="226"/>
      <c r="D146" s="226"/>
      <c r="E146" s="221"/>
      <c r="F146" s="222"/>
      <c r="G146" s="128" t="s">
        <v>26</v>
      </c>
      <c r="H146" s="128" t="s">
        <v>86</v>
      </c>
      <c r="I146" s="20" t="s">
        <v>24</v>
      </c>
      <c r="J146" s="18" t="s">
        <v>25</v>
      </c>
      <c r="K146" s="224"/>
      <c r="L146" s="224"/>
      <c r="M146" s="233"/>
      <c r="N146" s="233"/>
      <c r="O146" s="226"/>
      <c r="P146" s="225"/>
      <c r="Q146" s="226"/>
      <c r="R146" s="225"/>
      <c r="S146" s="226"/>
      <c r="T146" s="220"/>
    </row>
    <row r="147" spans="1:20">
      <c r="A147" s="4" t="s">
        <v>16</v>
      </c>
      <c r="B147" s="4" t="s">
        <v>17</v>
      </c>
      <c r="C147" s="4" t="s">
        <v>18</v>
      </c>
      <c r="D147" s="4" t="s">
        <v>19</v>
      </c>
      <c r="E147" s="13">
        <v>1</v>
      </c>
      <c r="F147" s="13">
        <v>2</v>
      </c>
      <c r="G147" s="13">
        <v>3</v>
      </c>
      <c r="H147" s="13">
        <v>4</v>
      </c>
      <c r="I147" s="13">
        <v>5</v>
      </c>
      <c r="J147" s="23">
        <v>6</v>
      </c>
      <c r="K147" s="4">
        <v>7</v>
      </c>
      <c r="L147" s="4">
        <v>8</v>
      </c>
      <c r="M147" s="4">
        <v>9</v>
      </c>
      <c r="N147" s="4">
        <v>10</v>
      </c>
      <c r="O147" s="30" t="s">
        <v>87</v>
      </c>
      <c r="P147" s="30">
        <v>12</v>
      </c>
      <c r="Q147" s="30">
        <v>13</v>
      </c>
      <c r="R147" s="30">
        <v>14</v>
      </c>
      <c r="S147" s="30" t="s">
        <v>88</v>
      </c>
      <c r="T147" s="2"/>
    </row>
    <row r="148" spans="1:20">
      <c r="A148" s="21">
        <v>1</v>
      </c>
      <c r="B148" s="39" t="s">
        <v>89</v>
      </c>
      <c r="C148" s="42" t="s">
        <v>60</v>
      </c>
      <c r="D148" s="46" t="s">
        <v>61</v>
      </c>
      <c r="E148" s="47">
        <v>5.0199999999999996</v>
      </c>
      <c r="F148" s="47">
        <v>0.35</v>
      </c>
      <c r="G148" s="25"/>
      <c r="H148" s="22"/>
      <c r="I148" s="48"/>
      <c r="J148" s="49">
        <f>30/100*(E148+F148+G148)</f>
        <v>1.6109999999999998</v>
      </c>
      <c r="K148" s="50">
        <f>E148+F148+G148+H148+I148+J148</f>
        <v>6.980999999999999</v>
      </c>
      <c r="L148" s="51">
        <f>K148*1490000</f>
        <v>10401689.999999998</v>
      </c>
      <c r="M148" s="52"/>
      <c r="N148" s="52"/>
      <c r="O148" s="51">
        <f>L148-M148+N148</f>
        <v>10401689.999999998</v>
      </c>
      <c r="P148" s="53">
        <f>((E148+F148+G148+I148)*1490000-M148)*9.5%</f>
        <v>760123.49999999988</v>
      </c>
      <c r="Q148" s="54"/>
      <c r="R148" s="53">
        <f>P148+Q148</f>
        <v>760123.49999999988</v>
      </c>
      <c r="S148" s="53">
        <f>O148-R148</f>
        <v>9641566.4999999981</v>
      </c>
      <c r="T148" s="41"/>
    </row>
    <row r="149" spans="1:20" ht="15.75">
      <c r="A149" s="21">
        <v>2</v>
      </c>
      <c r="B149" s="39" t="s">
        <v>21</v>
      </c>
      <c r="C149" s="40" t="s">
        <v>28</v>
      </c>
      <c r="D149" s="55" t="s">
        <v>27</v>
      </c>
      <c r="E149" s="24">
        <v>4.9800000000000004</v>
      </c>
      <c r="F149" s="56"/>
      <c r="G149" s="57">
        <f>E149*6%</f>
        <v>0.29880000000000001</v>
      </c>
      <c r="H149" s="10"/>
      <c r="I149" s="48"/>
      <c r="J149" s="49">
        <f>30/100*(E149+F149+G149)</f>
        <v>1.5836400000000002</v>
      </c>
      <c r="K149" s="50">
        <f>E149+F149+G149+H149+I149+J149</f>
        <v>6.8624400000000003</v>
      </c>
      <c r="L149" s="51">
        <f>K149*1490000</f>
        <v>10225035.6</v>
      </c>
      <c r="M149" s="58"/>
      <c r="N149" s="58"/>
      <c r="O149" s="51">
        <f>L149-M149+N149</f>
        <v>10225035.6</v>
      </c>
      <c r="P149" s="53">
        <f>((E149+F149+G149+I149)*1490000-M149)*10.5%</f>
        <v>825868.26</v>
      </c>
      <c r="Q149" s="54"/>
      <c r="R149" s="53">
        <f t="shared" ref="R149:R184" si="55">P149+Q149</f>
        <v>825868.26</v>
      </c>
      <c r="S149" s="53">
        <f t="shared" ref="S149" si="56">O149-R149</f>
        <v>9399167.3399999999</v>
      </c>
      <c r="T149" s="59">
        <v>0.06</v>
      </c>
    </row>
    <row r="150" spans="1:20" ht="15.75">
      <c r="A150" s="21">
        <v>3</v>
      </c>
      <c r="B150" s="39" t="s">
        <v>22</v>
      </c>
      <c r="C150" s="40" t="s">
        <v>30</v>
      </c>
      <c r="D150" s="55" t="s">
        <v>90</v>
      </c>
      <c r="E150" s="24">
        <v>4.8899999999999997</v>
      </c>
      <c r="F150" s="47">
        <v>0.15</v>
      </c>
      <c r="G150" s="57"/>
      <c r="H150" s="10"/>
      <c r="I150" s="48"/>
      <c r="J150" s="49">
        <f>30/100*(E150+F150+G150)</f>
        <v>1.512</v>
      </c>
      <c r="K150" s="50">
        <f t="shared" ref="K150:K178" si="57">E150+F150+G150+H150+I150+J150</f>
        <v>6.5519999999999996</v>
      </c>
      <c r="L150" s="51">
        <f t="shared" ref="L150:L180" si="58">K150*1490000</f>
        <v>9762480</v>
      </c>
      <c r="M150" s="58"/>
      <c r="N150" s="58"/>
      <c r="O150" s="51">
        <f t="shared" ref="O150:O167" si="59">L150-M150+N150</f>
        <v>9762480</v>
      </c>
      <c r="P150" s="53">
        <f t="shared" ref="P150:P157" si="60">((E150+F150+G150+I150)*1490000-M150)*10.5%</f>
        <v>788508</v>
      </c>
      <c r="Q150" s="54"/>
      <c r="R150" s="53">
        <f t="shared" si="55"/>
        <v>788508</v>
      </c>
      <c r="S150" s="53">
        <f>O150-R150</f>
        <v>8973972</v>
      </c>
      <c r="T150" s="2"/>
    </row>
    <row r="151" spans="1:20" ht="15.75">
      <c r="A151" s="21">
        <v>4</v>
      </c>
      <c r="B151" s="39" t="s">
        <v>21</v>
      </c>
      <c r="C151" s="40" t="s">
        <v>32</v>
      </c>
      <c r="D151" s="55" t="s">
        <v>29</v>
      </c>
      <c r="E151" s="24">
        <v>4.9800000000000004</v>
      </c>
      <c r="F151" s="47">
        <v>0.2</v>
      </c>
      <c r="G151" s="57">
        <f>E151*5%</f>
        <v>0.24900000000000003</v>
      </c>
      <c r="H151" s="10"/>
      <c r="I151" s="48"/>
      <c r="J151" s="49">
        <f t="shared" ref="J151" si="61">30/100*(E151+F151+G151)</f>
        <v>1.6287</v>
      </c>
      <c r="K151" s="50">
        <f t="shared" si="57"/>
        <v>7.0577000000000005</v>
      </c>
      <c r="L151" s="51">
        <f t="shared" si="58"/>
        <v>10515973</v>
      </c>
      <c r="M151" s="58"/>
      <c r="N151" s="58"/>
      <c r="O151" s="51">
        <f t="shared" si="59"/>
        <v>10515973</v>
      </c>
      <c r="P151" s="53">
        <f t="shared" si="60"/>
        <v>849367.04999999993</v>
      </c>
      <c r="Q151" s="54"/>
      <c r="R151" s="53">
        <f t="shared" si="55"/>
        <v>849367.04999999993</v>
      </c>
      <c r="S151" s="53">
        <f t="shared" ref="S151:S153" si="62">O151-R151</f>
        <v>9666605.9499999993</v>
      </c>
      <c r="T151" s="59">
        <v>0.05</v>
      </c>
    </row>
    <row r="152" spans="1:20" ht="15.75">
      <c r="A152" s="21">
        <v>5</v>
      </c>
      <c r="B152" s="39" t="s">
        <v>21</v>
      </c>
      <c r="C152" s="40" t="s">
        <v>82</v>
      </c>
      <c r="D152" s="55" t="s">
        <v>29</v>
      </c>
      <c r="E152" s="24">
        <v>4.9800000000000004</v>
      </c>
      <c r="F152" s="47">
        <v>0.2</v>
      </c>
      <c r="G152" s="57">
        <f>E152*6%</f>
        <v>0.29880000000000001</v>
      </c>
      <c r="H152" s="10"/>
      <c r="I152" s="48"/>
      <c r="J152" s="49">
        <f>30/100*(E152+F152+G152)</f>
        <v>1.6436400000000002</v>
      </c>
      <c r="K152" s="50">
        <f t="shared" si="57"/>
        <v>7.122440000000001</v>
      </c>
      <c r="L152" s="51">
        <f t="shared" si="58"/>
        <v>10612435.600000001</v>
      </c>
      <c r="M152" s="58"/>
      <c r="N152" s="58"/>
      <c r="O152" s="51">
        <f t="shared" si="59"/>
        <v>10612435.600000001</v>
      </c>
      <c r="P152" s="53">
        <f t="shared" si="60"/>
        <v>857158.26</v>
      </c>
      <c r="Q152" s="54"/>
      <c r="R152" s="53">
        <f t="shared" si="55"/>
        <v>857158.26</v>
      </c>
      <c r="S152" s="53">
        <f t="shared" si="62"/>
        <v>9755277.3400000017</v>
      </c>
      <c r="T152" s="59">
        <v>0.06</v>
      </c>
    </row>
    <row r="153" spans="1:20" ht="15.75">
      <c r="A153" s="21">
        <v>6</v>
      </c>
      <c r="B153" s="39" t="s">
        <v>21</v>
      </c>
      <c r="C153" s="40" t="s">
        <v>84</v>
      </c>
      <c r="D153" s="55" t="s">
        <v>62</v>
      </c>
      <c r="E153" s="24">
        <v>4.6500000000000004</v>
      </c>
      <c r="F153" s="47">
        <v>0.25</v>
      </c>
      <c r="G153" s="14"/>
      <c r="H153" s="10"/>
      <c r="I153" s="48"/>
      <c r="J153" s="49">
        <f t="shared" ref="J153" si="63">30/100*(E153+F153+G153)</f>
        <v>1.47</v>
      </c>
      <c r="K153" s="50">
        <f t="shared" si="57"/>
        <v>6.37</v>
      </c>
      <c r="L153" s="51">
        <f t="shared" si="58"/>
        <v>9491300</v>
      </c>
      <c r="M153" s="58"/>
      <c r="N153" s="58"/>
      <c r="O153" s="51">
        <f t="shared" si="59"/>
        <v>9491300</v>
      </c>
      <c r="P153" s="53">
        <f t="shared" si="60"/>
        <v>766605.00000000012</v>
      </c>
      <c r="Q153" s="54"/>
      <c r="R153" s="53">
        <f t="shared" si="55"/>
        <v>766605.00000000012</v>
      </c>
      <c r="S153" s="53">
        <f t="shared" si="62"/>
        <v>8724695</v>
      </c>
      <c r="T153" s="41"/>
    </row>
    <row r="154" spans="1:20" ht="15.75">
      <c r="A154" s="21">
        <v>7</v>
      </c>
      <c r="B154" s="39" t="s">
        <v>22</v>
      </c>
      <c r="C154" s="42" t="s">
        <v>31</v>
      </c>
      <c r="D154" s="55" t="s">
        <v>27</v>
      </c>
      <c r="E154" s="24">
        <v>4.8899999999999997</v>
      </c>
      <c r="F154" s="47"/>
      <c r="G154" s="57"/>
      <c r="H154" s="10"/>
      <c r="I154" s="48"/>
      <c r="J154" s="49">
        <f>30/100*(E154+F154+G154)</f>
        <v>1.4669999999999999</v>
      </c>
      <c r="K154" s="50">
        <f t="shared" si="57"/>
        <v>6.3569999999999993</v>
      </c>
      <c r="L154" s="51">
        <f t="shared" si="58"/>
        <v>9471929.9999999981</v>
      </c>
      <c r="M154" s="58"/>
      <c r="N154" s="58"/>
      <c r="O154" s="51">
        <f t="shared" si="59"/>
        <v>9471929.9999999981</v>
      </c>
      <c r="P154" s="53">
        <f t="shared" si="60"/>
        <v>765040.49999999988</v>
      </c>
      <c r="Q154" s="54"/>
      <c r="R154" s="53">
        <f t="shared" si="55"/>
        <v>765040.49999999988</v>
      </c>
      <c r="S154" s="53">
        <f>O154-R154</f>
        <v>8706889.4999999981</v>
      </c>
      <c r="T154" s="41"/>
    </row>
    <row r="155" spans="1:20" ht="15.75">
      <c r="A155" s="21">
        <v>8</v>
      </c>
      <c r="B155" s="39" t="s">
        <v>21</v>
      </c>
      <c r="C155" s="26" t="s">
        <v>70</v>
      </c>
      <c r="D155" s="55" t="s">
        <v>27</v>
      </c>
      <c r="E155" s="24">
        <v>4.6500000000000004</v>
      </c>
      <c r="F155" s="47"/>
      <c r="G155" s="14"/>
      <c r="H155" s="10"/>
      <c r="I155" s="48"/>
      <c r="J155" s="49">
        <f t="shared" ref="J155:J157" si="64">30/100*(E155+F155+G155)</f>
        <v>1.395</v>
      </c>
      <c r="K155" s="50">
        <f t="shared" si="57"/>
        <v>6.0449999999999999</v>
      </c>
      <c r="L155" s="51">
        <f t="shared" si="58"/>
        <v>9007050</v>
      </c>
      <c r="M155" s="58"/>
      <c r="N155" s="58"/>
      <c r="O155" s="51">
        <f t="shared" si="59"/>
        <v>9007050</v>
      </c>
      <c r="P155" s="53">
        <f t="shared" si="60"/>
        <v>727492.50000000012</v>
      </c>
      <c r="Q155" s="54"/>
      <c r="R155" s="53">
        <f t="shared" si="55"/>
        <v>727492.50000000012</v>
      </c>
      <c r="S155" s="53">
        <f t="shared" ref="S155:S158" si="65">O155-R155</f>
        <v>8279557.5</v>
      </c>
      <c r="T155" s="41"/>
    </row>
    <row r="156" spans="1:20" ht="15.75">
      <c r="A156" s="21">
        <v>9</v>
      </c>
      <c r="B156" s="39" t="s">
        <v>21</v>
      </c>
      <c r="C156" s="26" t="s">
        <v>33</v>
      </c>
      <c r="D156" s="55" t="s">
        <v>29</v>
      </c>
      <c r="E156" s="24">
        <v>4.6500000000000004</v>
      </c>
      <c r="F156" s="47">
        <v>0.2</v>
      </c>
      <c r="G156" s="14"/>
      <c r="H156" s="10"/>
      <c r="I156" s="48"/>
      <c r="J156" s="49">
        <f t="shared" si="64"/>
        <v>1.4550000000000001</v>
      </c>
      <c r="K156" s="50">
        <f t="shared" si="57"/>
        <v>6.3050000000000006</v>
      </c>
      <c r="L156" s="51">
        <f t="shared" si="58"/>
        <v>9394450</v>
      </c>
      <c r="M156" s="58"/>
      <c r="N156" s="58"/>
      <c r="O156" s="51">
        <f t="shared" si="59"/>
        <v>9394450</v>
      </c>
      <c r="P156" s="53">
        <f t="shared" si="60"/>
        <v>758782.50000000012</v>
      </c>
      <c r="Q156" s="54"/>
      <c r="R156" s="53">
        <f t="shared" si="55"/>
        <v>758782.50000000012</v>
      </c>
      <c r="S156" s="53">
        <f t="shared" si="65"/>
        <v>8635667.5</v>
      </c>
      <c r="T156" s="41"/>
    </row>
    <row r="157" spans="1:20" ht="15.75">
      <c r="A157" s="21">
        <v>10</v>
      </c>
      <c r="B157" s="39" t="s">
        <v>21</v>
      </c>
      <c r="C157" s="26" t="s">
        <v>34</v>
      </c>
      <c r="D157" s="55" t="s">
        <v>27</v>
      </c>
      <c r="E157" s="24">
        <v>4.32</v>
      </c>
      <c r="F157" s="47"/>
      <c r="G157" s="14"/>
      <c r="H157" s="10"/>
      <c r="I157" s="48"/>
      <c r="J157" s="49">
        <f t="shared" si="64"/>
        <v>1.296</v>
      </c>
      <c r="K157" s="50">
        <f t="shared" si="57"/>
        <v>5.6160000000000005</v>
      </c>
      <c r="L157" s="51">
        <f t="shared" si="58"/>
        <v>8367840.0000000009</v>
      </c>
      <c r="M157" s="58"/>
      <c r="N157" s="58"/>
      <c r="O157" s="51">
        <f t="shared" si="59"/>
        <v>8367840.0000000009</v>
      </c>
      <c r="P157" s="53">
        <f t="shared" si="60"/>
        <v>675864</v>
      </c>
      <c r="Q157" s="54"/>
      <c r="R157" s="53">
        <f t="shared" si="55"/>
        <v>675864</v>
      </c>
      <c r="S157" s="53">
        <f t="shared" si="65"/>
        <v>7691976.0000000009</v>
      </c>
      <c r="T157" s="41"/>
    </row>
    <row r="158" spans="1:20">
      <c r="A158" s="21">
        <v>11</v>
      </c>
      <c r="B158" s="39" t="s">
        <v>21</v>
      </c>
      <c r="C158" s="42" t="s">
        <v>36</v>
      </c>
      <c r="D158" s="55" t="s">
        <v>29</v>
      </c>
      <c r="E158" s="24">
        <v>4.32</v>
      </c>
      <c r="F158" s="47">
        <v>0.2</v>
      </c>
      <c r="G158" s="33"/>
      <c r="H158" s="35"/>
      <c r="I158" s="48"/>
      <c r="J158" s="49">
        <f>30/100*(E158+F158+G158)</f>
        <v>1.3560000000000001</v>
      </c>
      <c r="K158" s="50">
        <f t="shared" si="57"/>
        <v>5.8760000000000003</v>
      </c>
      <c r="L158" s="51">
        <f t="shared" si="58"/>
        <v>8755240</v>
      </c>
      <c r="M158" s="58"/>
      <c r="N158" s="58"/>
      <c r="O158" s="51">
        <f t="shared" si="59"/>
        <v>8755240</v>
      </c>
      <c r="P158" s="53">
        <f>((E158+F158+G158+I158)*1490000-M158)*10.5%</f>
        <v>707154.00000000012</v>
      </c>
      <c r="Q158" s="54"/>
      <c r="R158" s="53">
        <f t="shared" si="55"/>
        <v>707154.00000000012</v>
      </c>
      <c r="S158" s="53">
        <f t="shared" si="65"/>
        <v>8048086</v>
      </c>
      <c r="T158" s="2"/>
    </row>
    <row r="159" spans="1:20">
      <c r="A159" s="21">
        <v>12</v>
      </c>
      <c r="B159" s="39" t="s">
        <v>64</v>
      </c>
      <c r="C159" s="26" t="s">
        <v>59</v>
      </c>
      <c r="D159" s="55" t="s">
        <v>35</v>
      </c>
      <c r="E159" s="24">
        <v>4.2699999999999996</v>
      </c>
      <c r="F159" s="47">
        <v>0.2</v>
      </c>
      <c r="G159" s="33"/>
      <c r="H159" s="34">
        <v>0.1</v>
      </c>
      <c r="I159" s="48"/>
      <c r="J159" s="49"/>
      <c r="K159" s="50">
        <f t="shared" si="57"/>
        <v>4.5699999999999994</v>
      </c>
      <c r="L159" s="51">
        <f t="shared" si="58"/>
        <v>6809299.9999999991</v>
      </c>
      <c r="M159" s="58"/>
      <c r="N159" s="58"/>
      <c r="O159" s="51">
        <f t="shared" si="59"/>
        <v>6809299.9999999991</v>
      </c>
      <c r="P159" s="53">
        <f>((E159+F159+G159+I159)*1490000-M159)*10.5%</f>
        <v>699331.5</v>
      </c>
      <c r="Q159" s="54"/>
      <c r="R159" s="53">
        <f t="shared" si="55"/>
        <v>699331.5</v>
      </c>
      <c r="S159" s="53">
        <f>O159-R159</f>
        <v>6109968.4999999991</v>
      </c>
      <c r="T159" s="2"/>
    </row>
    <row r="160" spans="1:20">
      <c r="A160" s="21">
        <v>13</v>
      </c>
      <c r="B160" s="39" t="s">
        <v>21</v>
      </c>
      <c r="C160" s="40" t="s">
        <v>69</v>
      </c>
      <c r="D160" s="55" t="s">
        <v>27</v>
      </c>
      <c r="E160" s="24">
        <v>4.32</v>
      </c>
      <c r="F160" s="47"/>
      <c r="G160" s="33"/>
      <c r="H160" s="35"/>
      <c r="I160" s="48"/>
      <c r="J160" s="49">
        <f>30/100*(E160+F160+G160)</f>
        <v>1.296</v>
      </c>
      <c r="K160" s="50">
        <f t="shared" si="57"/>
        <v>5.6160000000000005</v>
      </c>
      <c r="L160" s="51">
        <f t="shared" si="58"/>
        <v>8367840.0000000009</v>
      </c>
      <c r="M160" s="58"/>
      <c r="N160" s="58"/>
      <c r="O160" s="51">
        <f t="shared" si="59"/>
        <v>8367840.0000000009</v>
      </c>
      <c r="P160" s="53">
        <f t="shared" ref="P160:P178" si="66">((E160+F160+G160+I160)*1490000-M160)*10.5%</f>
        <v>675864</v>
      </c>
      <c r="Q160" s="54"/>
      <c r="R160" s="53">
        <f t="shared" si="55"/>
        <v>675864</v>
      </c>
      <c r="S160" s="53">
        <f t="shared" ref="S160:S167" si="67">O160-R160</f>
        <v>7691976.0000000009</v>
      </c>
      <c r="T160" s="2"/>
    </row>
    <row r="161" spans="1:20">
      <c r="A161" s="21">
        <v>14</v>
      </c>
      <c r="B161" s="39" t="s">
        <v>21</v>
      </c>
      <c r="C161" s="40" t="s">
        <v>37</v>
      </c>
      <c r="D161" s="55" t="s">
        <v>27</v>
      </c>
      <c r="E161" s="24">
        <v>4.32</v>
      </c>
      <c r="F161" s="24"/>
      <c r="G161" s="33"/>
      <c r="H161" s="35"/>
      <c r="I161" s="48"/>
      <c r="J161" s="49">
        <f>30/100*(E161+F161+G161)</f>
        <v>1.296</v>
      </c>
      <c r="K161" s="50">
        <f t="shared" si="57"/>
        <v>5.6160000000000005</v>
      </c>
      <c r="L161" s="51">
        <f t="shared" si="58"/>
        <v>8367840.0000000009</v>
      </c>
      <c r="M161" s="58"/>
      <c r="N161" s="58"/>
      <c r="O161" s="51">
        <f t="shared" si="59"/>
        <v>8367840.0000000009</v>
      </c>
      <c r="P161" s="53">
        <f t="shared" si="66"/>
        <v>675864</v>
      </c>
      <c r="Q161" s="54"/>
      <c r="R161" s="53">
        <f t="shared" si="55"/>
        <v>675864</v>
      </c>
      <c r="S161" s="53">
        <f t="shared" si="67"/>
        <v>7691976.0000000009</v>
      </c>
      <c r="T161" s="2"/>
    </row>
    <row r="162" spans="1:20">
      <c r="A162" s="21">
        <v>15</v>
      </c>
      <c r="B162" s="39" t="s">
        <v>21</v>
      </c>
      <c r="C162" s="40" t="s">
        <v>71</v>
      </c>
      <c r="D162" s="55" t="s">
        <v>27</v>
      </c>
      <c r="E162" s="24">
        <v>4.32</v>
      </c>
      <c r="F162" s="24"/>
      <c r="G162" s="33"/>
      <c r="H162" s="35"/>
      <c r="I162" s="48"/>
      <c r="J162" s="49">
        <f t="shared" ref="J162:J164" si="68">30/100*(E162+F162+G162)</f>
        <v>1.296</v>
      </c>
      <c r="K162" s="50">
        <f t="shared" si="57"/>
        <v>5.6160000000000005</v>
      </c>
      <c r="L162" s="51">
        <f t="shared" si="58"/>
        <v>8367840.0000000009</v>
      </c>
      <c r="M162" s="58"/>
      <c r="N162" s="58"/>
      <c r="O162" s="51">
        <f t="shared" si="59"/>
        <v>8367840.0000000009</v>
      </c>
      <c r="P162" s="53">
        <f t="shared" si="66"/>
        <v>675864</v>
      </c>
      <c r="Q162" s="54"/>
      <c r="R162" s="53">
        <f t="shared" si="55"/>
        <v>675864</v>
      </c>
      <c r="S162" s="53">
        <f t="shared" si="67"/>
        <v>7691976.0000000009</v>
      </c>
      <c r="T162" s="41"/>
    </row>
    <row r="163" spans="1:20">
      <c r="A163" s="21">
        <v>16</v>
      </c>
      <c r="B163" s="39" t="s">
        <v>21</v>
      </c>
      <c r="C163" s="40" t="s">
        <v>38</v>
      </c>
      <c r="D163" s="55" t="s">
        <v>27</v>
      </c>
      <c r="E163" s="24">
        <v>4.32</v>
      </c>
      <c r="F163" s="24"/>
      <c r="G163" s="33"/>
      <c r="H163" s="35"/>
      <c r="I163" s="48"/>
      <c r="J163" s="49">
        <f t="shared" si="68"/>
        <v>1.296</v>
      </c>
      <c r="K163" s="50">
        <f t="shared" si="57"/>
        <v>5.6160000000000005</v>
      </c>
      <c r="L163" s="51">
        <f t="shared" si="58"/>
        <v>8367840.0000000009</v>
      </c>
      <c r="M163" s="58"/>
      <c r="N163" s="58"/>
      <c r="O163" s="51">
        <f t="shared" si="59"/>
        <v>8367840.0000000009</v>
      </c>
      <c r="P163" s="53">
        <f t="shared" si="66"/>
        <v>675864</v>
      </c>
      <c r="Q163" s="54"/>
      <c r="R163" s="53">
        <f t="shared" si="55"/>
        <v>675864</v>
      </c>
      <c r="S163" s="53">
        <f t="shared" si="67"/>
        <v>7691976.0000000009</v>
      </c>
      <c r="T163" s="41"/>
    </row>
    <row r="164" spans="1:20">
      <c r="A164" s="21">
        <v>17</v>
      </c>
      <c r="B164" s="39" t="s">
        <v>21</v>
      </c>
      <c r="C164" s="40" t="s">
        <v>72</v>
      </c>
      <c r="D164" s="55" t="s">
        <v>27</v>
      </c>
      <c r="E164" s="24">
        <v>4.32</v>
      </c>
      <c r="F164" s="24"/>
      <c r="G164" s="33"/>
      <c r="H164" s="35"/>
      <c r="I164" s="48"/>
      <c r="J164" s="49">
        <f t="shared" si="68"/>
        <v>1.296</v>
      </c>
      <c r="K164" s="50">
        <f t="shared" si="57"/>
        <v>5.6160000000000005</v>
      </c>
      <c r="L164" s="51">
        <f t="shared" si="58"/>
        <v>8367840.0000000009</v>
      </c>
      <c r="M164" s="58"/>
      <c r="N164" s="58"/>
      <c r="O164" s="51">
        <f t="shared" si="59"/>
        <v>8367840.0000000009</v>
      </c>
      <c r="P164" s="53">
        <f t="shared" si="66"/>
        <v>675864</v>
      </c>
      <c r="Q164" s="54"/>
      <c r="R164" s="53">
        <f t="shared" si="55"/>
        <v>675864</v>
      </c>
      <c r="S164" s="53">
        <f t="shared" si="67"/>
        <v>7691976.0000000009</v>
      </c>
      <c r="T164" s="41"/>
    </row>
    <row r="165" spans="1:20">
      <c r="A165" s="21">
        <v>18</v>
      </c>
      <c r="B165" s="39" t="s">
        <v>21</v>
      </c>
      <c r="C165" s="40" t="s">
        <v>91</v>
      </c>
      <c r="D165" s="55" t="s">
        <v>27</v>
      </c>
      <c r="E165" s="24">
        <v>4.32</v>
      </c>
      <c r="F165" s="24">
        <v>0.15</v>
      </c>
      <c r="G165" s="60"/>
      <c r="H165" s="35"/>
      <c r="I165" s="48"/>
      <c r="J165" s="49">
        <f>30/100*(E165+F165+G165)</f>
        <v>1.3410000000000002</v>
      </c>
      <c r="K165" s="61">
        <f t="shared" si="57"/>
        <v>5.8110000000000008</v>
      </c>
      <c r="L165" s="62">
        <f t="shared" si="58"/>
        <v>8658390.0000000019</v>
      </c>
      <c r="M165" s="63"/>
      <c r="N165" s="63"/>
      <c r="O165" s="62">
        <f t="shared" si="59"/>
        <v>8658390.0000000019</v>
      </c>
      <c r="P165" s="64">
        <f t="shared" si="66"/>
        <v>699331.50000000012</v>
      </c>
      <c r="Q165" s="54"/>
      <c r="R165" s="64">
        <f t="shared" si="55"/>
        <v>699331.50000000012</v>
      </c>
      <c r="S165" s="64">
        <f t="shared" si="67"/>
        <v>7959058.5000000019</v>
      </c>
      <c r="T165" s="41"/>
    </row>
    <row r="166" spans="1:20">
      <c r="A166" s="21">
        <v>19</v>
      </c>
      <c r="B166" s="39" t="s">
        <v>21</v>
      </c>
      <c r="C166" s="40" t="s">
        <v>39</v>
      </c>
      <c r="D166" s="55" t="s">
        <v>27</v>
      </c>
      <c r="E166" s="24">
        <v>4.32</v>
      </c>
      <c r="F166" s="24"/>
      <c r="G166" s="33"/>
      <c r="H166" s="36"/>
      <c r="I166" s="48"/>
      <c r="J166" s="49">
        <f>30/100*(E166+F166+G166)</f>
        <v>1.296</v>
      </c>
      <c r="K166" s="50">
        <f t="shared" si="57"/>
        <v>5.6160000000000005</v>
      </c>
      <c r="L166" s="51">
        <f t="shared" si="58"/>
        <v>8367840.0000000009</v>
      </c>
      <c r="M166" s="58"/>
      <c r="N166" s="58"/>
      <c r="O166" s="51">
        <f t="shared" si="59"/>
        <v>8367840.0000000009</v>
      </c>
      <c r="P166" s="53">
        <f t="shared" si="66"/>
        <v>675864</v>
      </c>
      <c r="Q166" s="54"/>
      <c r="R166" s="53">
        <f t="shared" si="55"/>
        <v>675864</v>
      </c>
      <c r="S166" s="53">
        <f t="shared" si="67"/>
        <v>7691976.0000000009</v>
      </c>
      <c r="T166" s="41"/>
    </row>
    <row r="167" spans="1:20">
      <c r="A167" s="21">
        <v>20</v>
      </c>
      <c r="B167" s="39" t="s">
        <v>22</v>
      </c>
      <c r="C167" s="40" t="s">
        <v>40</v>
      </c>
      <c r="D167" s="55" t="s">
        <v>90</v>
      </c>
      <c r="E167" s="24">
        <v>3.96</v>
      </c>
      <c r="F167" s="24">
        <v>0.15</v>
      </c>
      <c r="G167" s="33"/>
      <c r="H167" s="36"/>
      <c r="I167" s="48"/>
      <c r="J167" s="49">
        <f t="shared" ref="J167" si="69">30/100*(E167+F167+G167)</f>
        <v>1.2330000000000001</v>
      </c>
      <c r="K167" s="50">
        <f t="shared" si="57"/>
        <v>5.343</v>
      </c>
      <c r="L167" s="51">
        <f t="shared" si="58"/>
        <v>7961070</v>
      </c>
      <c r="M167" s="58"/>
      <c r="N167" s="58"/>
      <c r="O167" s="51">
        <f t="shared" si="59"/>
        <v>7961070</v>
      </c>
      <c r="P167" s="53">
        <f t="shared" si="66"/>
        <v>643009.50000000012</v>
      </c>
      <c r="Q167" s="54"/>
      <c r="R167" s="53">
        <f t="shared" si="55"/>
        <v>643009.50000000012</v>
      </c>
      <c r="S167" s="53">
        <f t="shared" si="67"/>
        <v>7318060.5</v>
      </c>
      <c r="T167" s="41"/>
    </row>
    <row r="168" spans="1:20" ht="15.75">
      <c r="A168" s="21">
        <v>21</v>
      </c>
      <c r="B168" s="39" t="s">
        <v>21</v>
      </c>
      <c r="C168" s="40" t="s">
        <v>73</v>
      </c>
      <c r="D168" s="55" t="s">
        <v>27</v>
      </c>
      <c r="E168" s="24">
        <v>3.99</v>
      </c>
      <c r="F168" s="24"/>
      <c r="G168" s="14"/>
      <c r="H168" s="10"/>
      <c r="I168" s="48"/>
      <c r="J168" s="49">
        <f>30/100*(E168+F168+G168)</f>
        <v>1.1970000000000001</v>
      </c>
      <c r="K168" s="50">
        <f t="shared" si="57"/>
        <v>5.1870000000000003</v>
      </c>
      <c r="L168" s="51">
        <f t="shared" si="58"/>
        <v>7728630</v>
      </c>
      <c r="M168" s="65"/>
      <c r="N168" s="65"/>
      <c r="O168" s="51">
        <f>L168-M168+N168</f>
        <v>7728630</v>
      </c>
      <c r="P168" s="53">
        <f t="shared" si="66"/>
        <v>624235.5</v>
      </c>
      <c r="Q168" s="54"/>
      <c r="R168" s="53">
        <f t="shared" si="55"/>
        <v>624235.5</v>
      </c>
      <c r="S168" s="53">
        <f>O168-R168-N168</f>
        <v>7104394.5</v>
      </c>
      <c r="T168" s="41"/>
    </row>
    <row r="169" spans="1:20" ht="15.75">
      <c r="A169" s="21">
        <v>22</v>
      </c>
      <c r="B169" s="39" t="s">
        <v>21</v>
      </c>
      <c r="C169" s="40" t="s">
        <v>41</v>
      </c>
      <c r="D169" s="55" t="s">
        <v>27</v>
      </c>
      <c r="E169" s="24">
        <v>3.99</v>
      </c>
      <c r="F169" s="56"/>
      <c r="G169" s="14"/>
      <c r="H169" s="10"/>
      <c r="I169" s="48"/>
      <c r="J169" s="49">
        <f t="shared" ref="J169:J174" si="70">30/100*(E169+F169+G169)</f>
        <v>1.1970000000000001</v>
      </c>
      <c r="K169" s="50">
        <f t="shared" si="57"/>
        <v>5.1870000000000003</v>
      </c>
      <c r="L169" s="51">
        <f t="shared" si="58"/>
        <v>7728630</v>
      </c>
      <c r="M169" s="58"/>
      <c r="N169" s="58"/>
      <c r="O169" s="51">
        <f t="shared" ref="O169:O174" si="71">L169-M169+N169</f>
        <v>7728630</v>
      </c>
      <c r="P169" s="53">
        <f t="shared" si="66"/>
        <v>624235.5</v>
      </c>
      <c r="Q169" s="54"/>
      <c r="R169" s="53">
        <f t="shared" si="55"/>
        <v>624235.5</v>
      </c>
      <c r="S169" s="53">
        <f t="shared" ref="S169:S172" si="72">O169-R169</f>
        <v>7104394.5</v>
      </c>
      <c r="T169" s="41"/>
    </row>
    <row r="170" spans="1:20">
      <c r="A170" s="21">
        <v>23</v>
      </c>
      <c r="B170" s="39" t="s">
        <v>21</v>
      </c>
      <c r="C170" s="40" t="s">
        <v>42</v>
      </c>
      <c r="D170" s="55" t="s">
        <v>27</v>
      </c>
      <c r="E170" s="24">
        <v>3.99</v>
      </c>
      <c r="F170" s="56"/>
      <c r="G170" s="14"/>
      <c r="H170" s="24">
        <v>0.1</v>
      </c>
      <c r="I170" s="48"/>
      <c r="J170" s="49">
        <f t="shared" si="70"/>
        <v>1.1970000000000001</v>
      </c>
      <c r="K170" s="50">
        <f t="shared" si="57"/>
        <v>5.2869999999999999</v>
      </c>
      <c r="L170" s="51">
        <f t="shared" si="58"/>
        <v>7877630</v>
      </c>
      <c r="M170" s="58"/>
      <c r="N170" s="58"/>
      <c r="O170" s="51">
        <f t="shared" si="71"/>
        <v>7877630</v>
      </c>
      <c r="P170" s="53">
        <f t="shared" si="66"/>
        <v>624235.5</v>
      </c>
      <c r="Q170" s="54"/>
      <c r="R170" s="53">
        <f t="shared" si="55"/>
        <v>624235.5</v>
      </c>
      <c r="S170" s="53">
        <f t="shared" si="72"/>
        <v>7253394.5</v>
      </c>
      <c r="T170" s="41"/>
    </row>
    <row r="171" spans="1:20" ht="15.75">
      <c r="A171" s="21">
        <v>24</v>
      </c>
      <c r="B171" s="39" t="s">
        <v>21</v>
      </c>
      <c r="C171" s="26" t="s">
        <v>74</v>
      </c>
      <c r="D171" s="55" t="s">
        <v>27</v>
      </c>
      <c r="E171" s="24">
        <v>3.99</v>
      </c>
      <c r="F171" s="56"/>
      <c r="G171" s="14"/>
      <c r="H171" s="10"/>
      <c r="I171" s="66"/>
      <c r="J171" s="67">
        <f t="shared" si="70"/>
        <v>1.1970000000000001</v>
      </c>
      <c r="K171" s="68">
        <f t="shared" si="57"/>
        <v>5.1870000000000003</v>
      </c>
      <c r="L171" s="69">
        <f t="shared" si="58"/>
        <v>7728630</v>
      </c>
      <c r="M171" s="70"/>
      <c r="N171" s="70"/>
      <c r="O171" s="69">
        <f t="shared" si="71"/>
        <v>7728630</v>
      </c>
      <c r="P171" s="71">
        <f t="shared" si="66"/>
        <v>624235.5</v>
      </c>
      <c r="Q171" s="54"/>
      <c r="R171" s="71">
        <f t="shared" si="55"/>
        <v>624235.5</v>
      </c>
      <c r="S171" s="71">
        <f t="shared" si="72"/>
        <v>7104394.5</v>
      </c>
      <c r="T171" s="41"/>
    </row>
    <row r="172" spans="1:20" ht="15.75">
      <c r="A172" s="21">
        <v>25</v>
      </c>
      <c r="B172" s="72" t="s">
        <v>21</v>
      </c>
      <c r="C172" s="26" t="s">
        <v>43</v>
      </c>
      <c r="D172" s="55" t="s">
        <v>27</v>
      </c>
      <c r="E172" s="24">
        <v>3.99</v>
      </c>
      <c r="F172" s="56"/>
      <c r="G172" s="14"/>
      <c r="H172" s="10"/>
      <c r="I172" s="66"/>
      <c r="J172" s="67">
        <f t="shared" si="70"/>
        <v>1.1970000000000001</v>
      </c>
      <c r="K172" s="68">
        <f t="shared" si="57"/>
        <v>5.1870000000000003</v>
      </c>
      <c r="L172" s="69">
        <f t="shared" si="58"/>
        <v>7728630</v>
      </c>
      <c r="M172" s="70"/>
      <c r="N172" s="70"/>
      <c r="O172" s="69">
        <f t="shared" si="71"/>
        <v>7728630</v>
      </c>
      <c r="P172" s="71">
        <f t="shared" si="66"/>
        <v>624235.5</v>
      </c>
      <c r="Q172" s="54"/>
      <c r="R172" s="71">
        <f t="shared" si="55"/>
        <v>624235.5</v>
      </c>
      <c r="S172" s="71">
        <f t="shared" si="72"/>
        <v>7104394.5</v>
      </c>
      <c r="T172" s="41"/>
    </row>
    <row r="173" spans="1:20" ht="15.75">
      <c r="A173" s="21">
        <v>26</v>
      </c>
      <c r="B173" s="39" t="s">
        <v>21</v>
      </c>
      <c r="C173" s="26" t="s">
        <v>58</v>
      </c>
      <c r="D173" s="55" t="s">
        <v>27</v>
      </c>
      <c r="E173" s="24">
        <v>3.33</v>
      </c>
      <c r="F173" s="56"/>
      <c r="G173" s="14"/>
      <c r="H173" s="10"/>
      <c r="I173" s="48"/>
      <c r="J173" s="49">
        <f t="shared" si="70"/>
        <v>0.999</v>
      </c>
      <c r="K173" s="50">
        <f t="shared" si="57"/>
        <v>4.3289999999999997</v>
      </c>
      <c r="L173" s="51">
        <f t="shared" si="58"/>
        <v>6450210</v>
      </c>
      <c r="M173" s="58"/>
      <c r="N173" s="58"/>
      <c r="O173" s="51">
        <f t="shared" si="71"/>
        <v>6450210</v>
      </c>
      <c r="P173" s="53">
        <f t="shared" si="66"/>
        <v>520978.5</v>
      </c>
      <c r="Q173" s="54"/>
      <c r="R173" s="53">
        <f t="shared" si="55"/>
        <v>520978.5</v>
      </c>
      <c r="S173" s="53">
        <f>O173-R173</f>
        <v>5929231.5</v>
      </c>
      <c r="T173" s="41"/>
    </row>
    <row r="174" spans="1:20" ht="15.75">
      <c r="A174" s="21">
        <v>27</v>
      </c>
      <c r="B174" s="39" t="s">
        <v>21</v>
      </c>
      <c r="C174" s="40" t="s">
        <v>44</v>
      </c>
      <c r="D174" s="55" t="s">
        <v>27</v>
      </c>
      <c r="E174" s="24">
        <v>3.99</v>
      </c>
      <c r="F174" s="56"/>
      <c r="G174" s="14"/>
      <c r="H174" s="10"/>
      <c r="I174" s="48"/>
      <c r="J174" s="49">
        <f t="shared" si="70"/>
        <v>1.1970000000000001</v>
      </c>
      <c r="K174" s="50">
        <f t="shared" si="57"/>
        <v>5.1870000000000003</v>
      </c>
      <c r="L174" s="51">
        <f t="shared" si="58"/>
        <v>7728630</v>
      </c>
      <c r="M174" s="58"/>
      <c r="N174" s="58"/>
      <c r="O174" s="51">
        <f t="shared" si="71"/>
        <v>7728630</v>
      </c>
      <c r="P174" s="53">
        <f t="shared" si="66"/>
        <v>624235.5</v>
      </c>
      <c r="Q174" s="54"/>
      <c r="R174" s="53">
        <f t="shared" si="55"/>
        <v>624235.5</v>
      </c>
      <c r="S174" s="53">
        <f t="shared" ref="S174:S177" si="73">O174-R174</f>
        <v>7104394.5</v>
      </c>
      <c r="T174" s="41"/>
    </row>
    <row r="175" spans="1:20" ht="15.75">
      <c r="A175" s="21">
        <v>28</v>
      </c>
      <c r="B175" s="39" t="s">
        <v>53</v>
      </c>
      <c r="C175" s="73" t="s">
        <v>75</v>
      </c>
      <c r="D175" s="55" t="s">
        <v>83</v>
      </c>
      <c r="E175" s="74">
        <v>3.46</v>
      </c>
      <c r="F175" s="56">
        <v>0.15</v>
      </c>
      <c r="G175" s="14"/>
      <c r="H175" s="10"/>
      <c r="I175" s="48"/>
      <c r="J175" s="49"/>
      <c r="K175" s="50">
        <f t="shared" si="57"/>
        <v>3.61</v>
      </c>
      <c r="L175" s="51">
        <f t="shared" si="58"/>
        <v>5378900</v>
      </c>
      <c r="M175" s="65">
        <f>L175</f>
        <v>5378900</v>
      </c>
      <c r="N175" s="75"/>
      <c r="O175" s="51">
        <f>L175-M175+N175</f>
        <v>0</v>
      </c>
      <c r="P175" s="53">
        <f t="shared" si="66"/>
        <v>0</v>
      </c>
      <c r="Q175" s="54"/>
      <c r="R175" s="53">
        <f t="shared" si="55"/>
        <v>0</v>
      </c>
      <c r="S175" s="76">
        <f t="shared" si="73"/>
        <v>0</v>
      </c>
      <c r="T175" s="41" t="s">
        <v>166</v>
      </c>
    </row>
    <row r="176" spans="1:20" ht="15.75">
      <c r="A176" s="21">
        <v>29</v>
      </c>
      <c r="B176" s="39" t="s">
        <v>89</v>
      </c>
      <c r="C176" s="42" t="s">
        <v>46</v>
      </c>
      <c r="D176" s="55" t="s">
        <v>27</v>
      </c>
      <c r="E176" s="24">
        <v>4</v>
      </c>
      <c r="F176" s="24"/>
      <c r="G176" s="14"/>
      <c r="H176" s="10"/>
      <c r="I176" s="48"/>
      <c r="J176" s="49">
        <f t="shared" ref="J176:J177" si="74">30/100*(E176+F176+G176)</f>
        <v>1.2</v>
      </c>
      <c r="K176" s="50">
        <f t="shared" si="57"/>
        <v>5.2</v>
      </c>
      <c r="L176" s="51">
        <f t="shared" si="58"/>
        <v>7748000</v>
      </c>
      <c r="M176" s="58"/>
      <c r="N176" s="58"/>
      <c r="O176" s="51">
        <f t="shared" ref="O176:O184" si="75">L176-M176+N176</f>
        <v>7748000</v>
      </c>
      <c r="P176" s="53">
        <f t="shared" si="66"/>
        <v>625800</v>
      </c>
      <c r="Q176" s="54"/>
      <c r="R176" s="53">
        <f t="shared" si="55"/>
        <v>625800</v>
      </c>
      <c r="S176" s="76">
        <f t="shared" si="73"/>
        <v>7122200</v>
      </c>
      <c r="T176" s="41"/>
    </row>
    <row r="177" spans="1:20" ht="15.75">
      <c r="A177" s="21">
        <v>30</v>
      </c>
      <c r="B177" s="39" t="s">
        <v>21</v>
      </c>
      <c r="C177" s="40" t="s">
        <v>47</v>
      </c>
      <c r="D177" s="55" t="s">
        <v>27</v>
      </c>
      <c r="E177" s="24">
        <v>3.99</v>
      </c>
      <c r="F177" s="24"/>
      <c r="G177" s="14"/>
      <c r="H177" s="10"/>
      <c r="I177" s="48"/>
      <c r="J177" s="49">
        <f t="shared" si="74"/>
        <v>1.1970000000000001</v>
      </c>
      <c r="K177" s="50">
        <f t="shared" si="57"/>
        <v>5.1870000000000003</v>
      </c>
      <c r="L177" s="51">
        <f t="shared" si="58"/>
        <v>7728630</v>
      </c>
      <c r="M177" s="53"/>
      <c r="N177" s="58"/>
      <c r="O177" s="51">
        <f t="shared" si="75"/>
        <v>7728630</v>
      </c>
      <c r="P177" s="53">
        <f t="shared" si="66"/>
        <v>624235.5</v>
      </c>
      <c r="Q177" s="54"/>
      <c r="R177" s="53">
        <f t="shared" si="55"/>
        <v>624235.5</v>
      </c>
      <c r="S177" s="76">
        <f t="shared" si="73"/>
        <v>7104394.5</v>
      </c>
      <c r="T177" s="41"/>
    </row>
    <row r="178" spans="1:20" ht="15.75">
      <c r="A178" s="21">
        <v>31</v>
      </c>
      <c r="B178" s="39" t="s">
        <v>21</v>
      </c>
      <c r="C178" s="40" t="s">
        <v>48</v>
      </c>
      <c r="D178" s="55" t="s">
        <v>27</v>
      </c>
      <c r="E178" s="24">
        <v>3.66</v>
      </c>
      <c r="F178" s="24"/>
      <c r="G178" s="14"/>
      <c r="H178" s="10"/>
      <c r="I178" s="48"/>
      <c r="J178" s="49">
        <f>30/100*(E178+F178+G178)</f>
        <v>1.0980000000000001</v>
      </c>
      <c r="K178" s="50">
        <f t="shared" si="57"/>
        <v>4.758</v>
      </c>
      <c r="L178" s="51">
        <f t="shared" si="58"/>
        <v>7089420</v>
      </c>
      <c r="M178" s="53"/>
      <c r="N178" s="58"/>
      <c r="O178" s="51">
        <f t="shared" si="75"/>
        <v>7089420</v>
      </c>
      <c r="P178" s="53">
        <f t="shared" si="66"/>
        <v>572607</v>
      </c>
      <c r="Q178" s="54"/>
      <c r="R178" s="53">
        <f t="shared" si="55"/>
        <v>572607</v>
      </c>
      <c r="S178" s="76">
        <f>O178-R178</f>
        <v>6516813</v>
      </c>
      <c r="T178" s="41"/>
    </row>
    <row r="179" spans="1:20" ht="15.75">
      <c r="A179" s="21">
        <v>32</v>
      </c>
      <c r="B179" s="39" t="s">
        <v>21</v>
      </c>
      <c r="C179" s="40" t="s">
        <v>92</v>
      </c>
      <c r="D179" s="55" t="s">
        <v>27</v>
      </c>
      <c r="E179" s="24">
        <v>3.33</v>
      </c>
      <c r="F179" s="24"/>
      <c r="G179" s="14"/>
      <c r="H179" s="10"/>
      <c r="I179" s="48"/>
      <c r="J179" s="49">
        <f>30/100*(E179+F179+G179)</f>
        <v>0.999</v>
      </c>
      <c r="K179" s="50">
        <f>E179+F179+G179+H179+I179+J179</f>
        <v>4.3289999999999997</v>
      </c>
      <c r="L179" s="51">
        <f t="shared" si="58"/>
        <v>6450210</v>
      </c>
      <c r="M179" s="53"/>
      <c r="N179" s="53"/>
      <c r="O179" s="51">
        <f t="shared" si="75"/>
        <v>6450210</v>
      </c>
      <c r="P179" s="53">
        <f>((E179+F179+G179+I179)*1490000)*10.5%</f>
        <v>520978.5</v>
      </c>
      <c r="Q179" s="54"/>
      <c r="R179" s="53">
        <f t="shared" si="55"/>
        <v>520978.5</v>
      </c>
      <c r="S179" s="76">
        <f t="shared" ref="S179:S180" si="76">O179-R179</f>
        <v>5929231.5</v>
      </c>
      <c r="T179" s="41"/>
    </row>
    <row r="180" spans="1:20" ht="15.75">
      <c r="A180" s="21">
        <v>33</v>
      </c>
      <c r="B180" s="39" t="s">
        <v>21</v>
      </c>
      <c r="C180" s="40" t="s">
        <v>93</v>
      </c>
      <c r="D180" s="55" t="s">
        <v>27</v>
      </c>
      <c r="E180" s="24">
        <v>3.66</v>
      </c>
      <c r="F180" s="24"/>
      <c r="G180" s="14"/>
      <c r="H180" s="10"/>
      <c r="I180" s="48"/>
      <c r="J180" s="49">
        <f>30/100*(E180+F180+G180)</f>
        <v>1.0980000000000001</v>
      </c>
      <c r="K180" s="50">
        <f>E180+F180+G180+H180+I180+J180</f>
        <v>4.758</v>
      </c>
      <c r="L180" s="51">
        <f t="shared" si="58"/>
        <v>7089420</v>
      </c>
      <c r="M180" s="53"/>
      <c r="N180" s="53"/>
      <c r="O180" s="51">
        <f t="shared" si="75"/>
        <v>7089420</v>
      </c>
      <c r="P180" s="53">
        <f>((E180+F180+G180+I180)*1490000)*10.5%</f>
        <v>572607</v>
      </c>
      <c r="Q180" s="54"/>
      <c r="R180" s="53">
        <f t="shared" si="55"/>
        <v>572607</v>
      </c>
      <c r="S180" s="76">
        <f t="shared" si="76"/>
        <v>6516813</v>
      </c>
      <c r="T180" s="41"/>
    </row>
    <row r="181" spans="1:20" ht="15.75">
      <c r="A181" s="21">
        <v>34</v>
      </c>
      <c r="B181" s="39" t="s">
        <v>94</v>
      </c>
      <c r="C181" s="42" t="s">
        <v>95</v>
      </c>
      <c r="D181" s="77" t="s">
        <v>27</v>
      </c>
      <c r="E181" s="24">
        <v>3</v>
      </c>
      <c r="F181" s="24"/>
      <c r="G181" s="14"/>
      <c r="H181" s="11"/>
      <c r="I181" s="48"/>
      <c r="J181" s="49">
        <f>30/100*(E181+F181+G181)</f>
        <v>0.89999999999999991</v>
      </c>
      <c r="K181" s="50">
        <f>E181+F181+G181+H181+I181+J181</f>
        <v>3.9</v>
      </c>
      <c r="L181" s="51">
        <f>K181*1490000</f>
        <v>5811000</v>
      </c>
      <c r="M181" s="65"/>
      <c r="N181" s="65"/>
      <c r="O181" s="51">
        <f t="shared" si="75"/>
        <v>5811000</v>
      </c>
      <c r="P181" s="53">
        <f t="shared" ref="P181:P182" si="77">((E181+F181+G181+I181)*1490000-M181)*10.5%</f>
        <v>469350</v>
      </c>
      <c r="Q181" s="54"/>
      <c r="R181" s="53">
        <f t="shared" si="55"/>
        <v>469350</v>
      </c>
      <c r="S181" s="76">
        <f>O181-R181-N181</f>
        <v>5341650</v>
      </c>
      <c r="T181" s="41"/>
    </row>
    <row r="182" spans="1:20">
      <c r="A182" s="21">
        <v>35</v>
      </c>
      <c r="B182" s="39" t="s">
        <v>23</v>
      </c>
      <c r="C182" s="40" t="s">
        <v>49</v>
      </c>
      <c r="D182" s="55" t="s">
        <v>45</v>
      </c>
      <c r="E182" s="24">
        <v>3.34</v>
      </c>
      <c r="F182" s="24"/>
      <c r="G182" s="14"/>
      <c r="H182" s="24">
        <v>0.2</v>
      </c>
      <c r="I182" s="48"/>
      <c r="J182" s="49"/>
      <c r="K182" s="50">
        <f t="shared" ref="K182" si="78">E182+F182+G182+H182+I182+J182</f>
        <v>3.54</v>
      </c>
      <c r="L182" s="51">
        <f t="shared" ref="L182" si="79">K182*1490000</f>
        <v>5274600</v>
      </c>
      <c r="M182" s="53"/>
      <c r="N182" s="58"/>
      <c r="O182" s="51">
        <f t="shared" si="75"/>
        <v>5274600</v>
      </c>
      <c r="P182" s="53">
        <f t="shared" si="77"/>
        <v>522543</v>
      </c>
      <c r="Q182" s="54"/>
      <c r="R182" s="53">
        <f t="shared" si="55"/>
        <v>522543</v>
      </c>
      <c r="S182" s="76">
        <f>O182-R182</f>
        <v>4752057</v>
      </c>
      <c r="T182" s="41"/>
    </row>
    <row r="183" spans="1:20">
      <c r="A183" s="21">
        <v>36</v>
      </c>
      <c r="B183" s="39" t="s">
        <v>52</v>
      </c>
      <c r="C183" s="40" t="s">
        <v>50</v>
      </c>
      <c r="D183" s="77" t="s">
        <v>45</v>
      </c>
      <c r="E183" s="24">
        <v>2.86</v>
      </c>
      <c r="F183" s="24"/>
      <c r="G183" s="14"/>
      <c r="H183" s="24">
        <v>0.2</v>
      </c>
      <c r="I183" s="48"/>
      <c r="J183" s="49"/>
      <c r="K183" s="50">
        <f>E183+F183+G183+H183+I183+J183</f>
        <v>3.06</v>
      </c>
      <c r="L183" s="51">
        <f>K183*1490000</f>
        <v>4559400</v>
      </c>
      <c r="M183" s="53"/>
      <c r="N183" s="51"/>
      <c r="O183" s="51">
        <f t="shared" si="75"/>
        <v>4559400</v>
      </c>
      <c r="P183" s="53">
        <f>((E183+F183+G183+I183)*1490000)*10.5%</f>
        <v>447447</v>
      </c>
      <c r="Q183" s="53"/>
      <c r="R183" s="53">
        <f t="shared" si="55"/>
        <v>447447</v>
      </c>
      <c r="S183" s="76">
        <f>O183-R183</f>
        <v>4111953</v>
      </c>
      <c r="T183" s="41"/>
    </row>
    <row r="184" spans="1:20" ht="15.75">
      <c r="A184" s="21">
        <v>37</v>
      </c>
      <c r="B184" s="39" t="s">
        <v>54</v>
      </c>
      <c r="C184" s="40" t="s">
        <v>51</v>
      </c>
      <c r="D184" s="77" t="s">
        <v>96</v>
      </c>
      <c r="E184" s="24"/>
      <c r="F184" s="24"/>
      <c r="G184" s="14"/>
      <c r="H184" s="11"/>
      <c r="I184" s="48"/>
      <c r="J184" s="49"/>
      <c r="K184" s="50"/>
      <c r="L184" s="51">
        <v>3920000</v>
      </c>
      <c r="M184" s="53"/>
      <c r="N184" s="58"/>
      <c r="O184" s="51">
        <f t="shared" si="75"/>
        <v>3920000</v>
      </c>
      <c r="P184" s="53">
        <f>O184*10.5%</f>
        <v>411600</v>
      </c>
      <c r="Q184" s="53"/>
      <c r="R184" s="53">
        <f t="shared" si="55"/>
        <v>411600</v>
      </c>
      <c r="S184" s="76">
        <f>O184-R184</f>
        <v>3508400</v>
      </c>
      <c r="T184" s="2"/>
    </row>
    <row r="185" spans="1:20" ht="15.75">
      <c r="A185" s="2"/>
      <c r="B185" s="2"/>
      <c r="C185" s="3" t="s">
        <v>14</v>
      </c>
      <c r="D185" s="5"/>
      <c r="E185" s="27">
        <f t="shared" ref="E185" si="80">SUM(E148:E184)</f>
        <v>149.36999999999995</v>
      </c>
      <c r="F185" s="78">
        <f>SUM(F148:F184)</f>
        <v>2.1999999999999997</v>
      </c>
      <c r="G185" s="27">
        <f>SUM(G148:G184)</f>
        <v>0.84660000000000002</v>
      </c>
      <c r="H185" s="78">
        <f>SUM(H148:H184)</f>
        <v>0.60000000000000009</v>
      </c>
      <c r="I185" s="27">
        <f>SUM(I148:I184)</f>
        <v>0</v>
      </c>
      <c r="J185" s="27">
        <f t="shared" ref="J185" si="81">SUM(J148:J184)</f>
        <v>41.440980000000003</v>
      </c>
      <c r="K185" s="27">
        <f>SUM(K148:K184)</f>
        <v>194.45758000000009</v>
      </c>
      <c r="L185" s="28">
        <f>SUM(L148:L184)</f>
        <v>293661794.19999999</v>
      </c>
      <c r="M185" s="75">
        <f t="shared" ref="M185:O185" si="82">SUM(M148:M184)</f>
        <v>5378900</v>
      </c>
      <c r="N185" s="75">
        <f t="shared" si="82"/>
        <v>0</v>
      </c>
      <c r="O185" s="28">
        <f t="shared" si="82"/>
        <v>288282894.19999999</v>
      </c>
      <c r="P185" s="28">
        <f>SUM(P148:P184)</f>
        <v>23612379.57</v>
      </c>
      <c r="Q185" s="28">
        <f>SUM(Q148:Q184)</f>
        <v>0</v>
      </c>
      <c r="R185" s="28">
        <f t="shared" ref="R185" si="83">SUM(R148:R184)</f>
        <v>23612379.57</v>
      </c>
      <c r="S185" s="32">
        <f>SUM(S148:S184)</f>
        <v>264670514.63</v>
      </c>
      <c r="T185" s="2"/>
    </row>
    <row r="186" spans="1:20">
      <c r="E186" s="9"/>
      <c r="F186" s="9"/>
      <c r="G186" s="9"/>
      <c r="H186" s="9"/>
      <c r="I186" s="19"/>
      <c r="J186" s="17"/>
    </row>
    <row r="187" spans="1:20">
      <c r="A187" s="1" t="s">
        <v>100</v>
      </c>
      <c r="D187" s="210" t="s">
        <v>162</v>
      </c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</row>
    <row r="188" spans="1:20" ht="15.75">
      <c r="A188" s="6"/>
      <c r="E188" s="9"/>
      <c r="F188" s="9"/>
      <c r="G188" s="9"/>
      <c r="H188" s="9"/>
      <c r="I188" s="19"/>
      <c r="J188" s="17"/>
      <c r="S188" s="15"/>
    </row>
    <row r="189" spans="1:20">
      <c r="A189" s="7"/>
      <c r="B189" s="7"/>
      <c r="C189" s="129">
        <f>L185+L113+L47</f>
        <v>880985382.5999999</v>
      </c>
      <c r="D189" s="211" t="s">
        <v>238</v>
      </c>
      <c r="E189" s="212"/>
      <c r="F189" s="212"/>
      <c r="G189" s="37"/>
      <c r="H189" s="37"/>
      <c r="I189" s="19"/>
      <c r="J189" s="17"/>
      <c r="N189" s="43"/>
      <c r="O189" s="43"/>
      <c r="P189" s="213" t="s">
        <v>161</v>
      </c>
      <c r="Q189" s="213"/>
      <c r="R189" s="213"/>
      <c r="S189" s="213"/>
    </row>
    <row r="190" spans="1:20">
      <c r="A190" s="214" t="s">
        <v>77</v>
      </c>
      <c r="B190" s="214"/>
      <c r="C190" s="214"/>
      <c r="D190" s="214"/>
      <c r="E190" s="214"/>
      <c r="F190" s="9"/>
      <c r="G190" s="44"/>
      <c r="H190" s="44"/>
      <c r="I190" s="19"/>
      <c r="J190" s="214" t="s">
        <v>79</v>
      </c>
      <c r="K190" s="214"/>
      <c r="L190" s="214"/>
      <c r="M190" s="214"/>
      <c r="P190" s="215" t="s">
        <v>65</v>
      </c>
      <c r="Q190" s="215"/>
      <c r="R190" s="215"/>
      <c r="S190" s="215"/>
    </row>
    <row r="191" spans="1:20">
      <c r="A191" s="216" t="s">
        <v>78</v>
      </c>
      <c r="B191" s="216"/>
      <c r="C191" s="216"/>
      <c r="D191" s="216"/>
      <c r="E191" s="9"/>
      <c r="F191" s="9"/>
      <c r="G191" s="9"/>
      <c r="H191" s="9"/>
      <c r="I191" s="19"/>
      <c r="J191" s="216" t="s">
        <v>80</v>
      </c>
      <c r="K191" s="216"/>
      <c r="L191" s="216"/>
      <c r="P191" s="217" t="s">
        <v>66</v>
      </c>
      <c r="Q191" s="217"/>
      <c r="R191" s="217"/>
      <c r="S191" s="217"/>
    </row>
    <row r="192" spans="1:20">
      <c r="E192" s="9"/>
      <c r="F192" s="9"/>
      <c r="G192" s="9"/>
      <c r="H192" s="9"/>
      <c r="I192" s="19"/>
      <c r="J192" s="17"/>
    </row>
    <row r="193" spans="1:19">
      <c r="C193" s="79"/>
      <c r="E193" s="9"/>
      <c r="F193" s="9"/>
      <c r="G193" s="9"/>
      <c r="H193" s="9"/>
      <c r="I193" s="19"/>
      <c r="J193" s="17"/>
    </row>
    <row r="194" spans="1:19">
      <c r="E194" s="9"/>
      <c r="F194" s="9"/>
      <c r="G194" s="9"/>
      <c r="H194" s="9"/>
      <c r="I194" s="19"/>
      <c r="J194" s="17"/>
      <c r="L194" s="12"/>
      <c r="P194" s="16"/>
    </row>
    <row r="195" spans="1:19">
      <c r="E195" s="9"/>
      <c r="F195" s="9"/>
      <c r="G195" s="9"/>
      <c r="H195" s="9"/>
      <c r="I195" s="19"/>
      <c r="J195" s="17"/>
    </row>
    <row r="196" spans="1:19" ht="15.75">
      <c r="B196" s="209" t="s">
        <v>97</v>
      </c>
      <c r="C196" s="209"/>
      <c r="D196" s="209"/>
      <c r="E196" s="9"/>
      <c r="F196" s="9"/>
      <c r="G196" s="9"/>
      <c r="H196" s="9"/>
      <c r="I196" s="19"/>
      <c r="J196" s="209" t="s">
        <v>59</v>
      </c>
      <c r="K196" s="209"/>
      <c r="L196" s="209"/>
      <c r="M196" s="209"/>
      <c r="P196" s="209" t="s">
        <v>81</v>
      </c>
      <c r="Q196" s="209"/>
      <c r="R196" s="209"/>
      <c r="S196" s="209"/>
    </row>
    <row r="198" spans="1:19" ht="15.75">
      <c r="C198" s="142"/>
    </row>
    <row r="200" spans="1:19">
      <c r="C200" s="28"/>
    </row>
    <row r="201" spans="1:19">
      <c r="C201" s="28"/>
    </row>
    <row r="202" spans="1:19">
      <c r="C202" s="28"/>
    </row>
    <row r="203" spans="1:19">
      <c r="C203" s="28"/>
    </row>
    <row r="204" spans="1:19" ht="15.75">
      <c r="A204" s="227" t="s">
        <v>55</v>
      </c>
      <c r="B204" s="227"/>
      <c r="C204" s="227"/>
      <c r="D204" s="227"/>
      <c r="E204" s="227"/>
      <c r="F204" s="227"/>
      <c r="G204" s="227"/>
      <c r="H204" s="227"/>
      <c r="I204" s="19"/>
      <c r="J204" s="17"/>
      <c r="Q204" s="228" t="s">
        <v>178</v>
      </c>
      <c r="R204" s="228"/>
      <c r="S204" s="228"/>
    </row>
    <row r="205" spans="1:19">
      <c r="A205" s="229" t="s">
        <v>67</v>
      </c>
      <c r="B205" s="229"/>
      <c r="C205" s="229"/>
      <c r="D205" s="229"/>
      <c r="E205" s="229"/>
      <c r="F205" s="229"/>
      <c r="G205" s="229"/>
      <c r="H205" s="9"/>
      <c r="I205" s="19"/>
      <c r="J205" s="17"/>
      <c r="R205" s="230" t="s">
        <v>68</v>
      </c>
      <c r="S205" s="230"/>
    </row>
    <row r="206" spans="1:19" ht="15.75">
      <c r="A206" s="227" t="s">
        <v>56</v>
      </c>
      <c r="B206" s="227"/>
      <c r="C206" s="227"/>
      <c r="D206" s="227"/>
      <c r="E206" s="227"/>
      <c r="F206" s="227"/>
      <c r="G206" s="227"/>
      <c r="H206" s="9"/>
      <c r="I206" s="19"/>
      <c r="J206" s="17"/>
      <c r="R206" s="29" t="s">
        <v>63</v>
      </c>
    </row>
    <row r="207" spans="1:19" ht="20.25">
      <c r="A207" s="231" t="s">
        <v>76</v>
      </c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</row>
    <row r="208" spans="1:19" ht="18.75">
      <c r="A208" s="232" t="s">
        <v>176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</row>
    <row r="209" spans="1:20">
      <c r="A209" s="225" t="s">
        <v>0</v>
      </c>
      <c r="B209" s="226" t="s">
        <v>1</v>
      </c>
      <c r="C209" s="226" t="s">
        <v>2</v>
      </c>
      <c r="D209" s="226" t="s">
        <v>3</v>
      </c>
      <c r="E209" s="226" t="s">
        <v>20</v>
      </c>
      <c r="F209" s="226"/>
      <c r="G209" s="226"/>
      <c r="H209" s="226"/>
      <c r="I209" s="226"/>
      <c r="J209" s="226"/>
      <c r="K209" s="226"/>
      <c r="L209" s="226"/>
      <c r="M209" s="233" t="s">
        <v>9</v>
      </c>
      <c r="N209" s="233" t="s">
        <v>11</v>
      </c>
      <c r="O209" s="226" t="s">
        <v>12</v>
      </c>
      <c r="P209" s="234" t="s">
        <v>13</v>
      </c>
      <c r="Q209" s="235"/>
      <c r="R209" s="236"/>
      <c r="S209" s="226" t="s">
        <v>15</v>
      </c>
      <c r="T209" s="218" t="s">
        <v>57</v>
      </c>
    </row>
    <row r="210" spans="1:20">
      <c r="A210" s="225"/>
      <c r="B210" s="226"/>
      <c r="C210" s="226"/>
      <c r="D210" s="226"/>
      <c r="E210" s="221" t="s">
        <v>4</v>
      </c>
      <c r="F210" s="222" t="s">
        <v>5</v>
      </c>
      <c r="G210" s="223" t="s">
        <v>6</v>
      </c>
      <c r="H210" s="223"/>
      <c r="I210" s="223"/>
      <c r="J210" s="223"/>
      <c r="K210" s="224" t="s">
        <v>7</v>
      </c>
      <c r="L210" s="224" t="s">
        <v>8</v>
      </c>
      <c r="M210" s="233"/>
      <c r="N210" s="233"/>
      <c r="O210" s="226"/>
      <c r="P210" s="225" t="s">
        <v>10</v>
      </c>
      <c r="Q210" s="226" t="s">
        <v>85</v>
      </c>
      <c r="R210" s="225" t="s">
        <v>14</v>
      </c>
      <c r="S210" s="226"/>
      <c r="T210" s="219"/>
    </row>
    <row r="211" spans="1:20" ht="42">
      <c r="A211" s="225"/>
      <c r="B211" s="226"/>
      <c r="C211" s="226"/>
      <c r="D211" s="226"/>
      <c r="E211" s="221"/>
      <c r="F211" s="222"/>
      <c r="G211" s="155" t="s">
        <v>26</v>
      </c>
      <c r="H211" s="155" t="s">
        <v>86</v>
      </c>
      <c r="I211" s="20" t="s">
        <v>24</v>
      </c>
      <c r="J211" s="18" t="s">
        <v>25</v>
      </c>
      <c r="K211" s="224"/>
      <c r="L211" s="224"/>
      <c r="M211" s="233"/>
      <c r="N211" s="233"/>
      <c r="O211" s="226"/>
      <c r="P211" s="225"/>
      <c r="Q211" s="226"/>
      <c r="R211" s="225"/>
      <c r="S211" s="226"/>
      <c r="T211" s="220"/>
    </row>
    <row r="212" spans="1:20">
      <c r="A212" s="4" t="s">
        <v>16</v>
      </c>
      <c r="B212" s="4" t="s">
        <v>17</v>
      </c>
      <c r="C212" s="4" t="s">
        <v>18</v>
      </c>
      <c r="D212" s="4" t="s">
        <v>19</v>
      </c>
      <c r="E212" s="13">
        <v>1</v>
      </c>
      <c r="F212" s="13">
        <v>2</v>
      </c>
      <c r="G212" s="13">
        <v>3</v>
      </c>
      <c r="H212" s="13">
        <v>4</v>
      </c>
      <c r="I212" s="13">
        <v>5</v>
      </c>
      <c r="J212" s="23">
        <v>6</v>
      </c>
      <c r="K212" s="4">
        <v>7</v>
      </c>
      <c r="L212" s="4">
        <v>8</v>
      </c>
      <c r="M212" s="4">
        <v>9</v>
      </c>
      <c r="N212" s="4">
        <v>10</v>
      </c>
      <c r="O212" s="30" t="s">
        <v>87</v>
      </c>
      <c r="P212" s="30">
        <v>12</v>
      </c>
      <c r="Q212" s="30">
        <v>13</v>
      </c>
      <c r="R212" s="30">
        <v>14</v>
      </c>
      <c r="S212" s="30" t="s">
        <v>88</v>
      </c>
      <c r="T212" s="2"/>
    </row>
    <row r="213" spans="1:20">
      <c r="A213" s="21">
        <v>1</v>
      </c>
      <c r="B213" s="39" t="s">
        <v>89</v>
      </c>
      <c r="C213" s="42" t="s">
        <v>60</v>
      </c>
      <c r="D213" s="46" t="s">
        <v>61</v>
      </c>
      <c r="E213" s="47">
        <v>5.0199999999999996</v>
      </c>
      <c r="F213" s="47">
        <v>0.35</v>
      </c>
      <c r="G213" s="25"/>
      <c r="H213" s="22"/>
      <c r="I213" s="48"/>
      <c r="J213" s="49">
        <f>30/100*(E213+F213+G213)</f>
        <v>1.6109999999999998</v>
      </c>
      <c r="K213" s="50">
        <f>E213+F213+G213+H213+I213+J213</f>
        <v>6.980999999999999</v>
      </c>
      <c r="L213" s="51">
        <f>K213*1490000</f>
        <v>10401689.999999998</v>
      </c>
      <c r="M213" s="52"/>
      <c r="N213" s="52"/>
      <c r="O213" s="51">
        <f>L213-M213+N213</f>
        <v>10401689.999999998</v>
      </c>
      <c r="P213" s="53">
        <f>((E213+F213+G213+I213)*1490000-M213)*9.5%</f>
        <v>760123.49999999988</v>
      </c>
      <c r="Q213" s="54"/>
      <c r="R213" s="53">
        <f>P213+Q213</f>
        <v>760123.49999999988</v>
      </c>
      <c r="S213" s="53">
        <f>O213-R213</f>
        <v>9641566.4999999981</v>
      </c>
      <c r="T213" s="41"/>
    </row>
    <row r="214" spans="1:20" ht="15.75">
      <c r="A214" s="21">
        <v>2</v>
      </c>
      <c r="B214" s="39" t="s">
        <v>21</v>
      </c>
      <c r="C214" s="40" t="s">
        <v>28</v>
      </c>
      <c r="D214" s="55" t="s">
        <v>27</v>
      </c>
      <c r="E214" s="24">
        <v>4.9800000000000004</v>
      </c>
      <c r="F214" s="56"/>
      <c r="G214" s="57">
        <f>E214*6%</f>
        <v>0.29880000000000001</v>
      </c>
      <c r="H214" s="10"/>
      <c r="I214" s="48"/>
      <c r="J214" s="49">
        <f>30/100*(E214+F214+G214)</f>
        <v>1.5836400000000002</v>
      </c>
      <c r="K214" s="50">
        <f>E214+F214+G214+H214+I214+J214</f>
        <v>6.8624400000000003</v>
      </c>
      <c r="L214" s="51">
        <f>K214*1490000</f>
        <v>10225035.6</v>
      </c>
      <c r="M214" s="58"/>
      <c r="N214" s="58"/>
      <c r="O214" s="51">
        <f>L214-M214+N214</f>
        <v>10225035.6</v>
      </c>
      <c r="P214" s="53">
        <f>((E214+F214+G214+I214)*1490000-M214)*10.5%</f>
        <v>825868.26</v>
      </c>
      <c r="Q214" s="54"/>
      <c r="R214" s="53">
        <f t="shared" ref="R214:R249" si="84">P214+Q214</f>
        <v>825868.26</v>
      </c>
      <c r="S214" s="53">
        <f t="shared" ref="S214" si="85">O214-R214</f>
        <v>9399167.3399999999</v>
      </c>
      <c r="T214" s="59">
        <v>0.06</v>
      </c>
    </row>
    <row r="215" spans="1:20" ht="15.75">
      <c r="A215" s="21">
        <v>3</v>
      </c>
      <c r="B215" s="39" t="s">
        <v>22</v>
      </c>
      <c r="C215" s="40" t="s">
        <v>30</v>
      </c>
      <c r="D215" s="55" t="s">
        <v>90</v>
      </c>
      <c r="E215" s="24">
        <v>4.8899999999999997</v>
      </c>
      <c r="F215" s="47">
        <v>0.15</v>
      </c>
      <c r="G215" s="57"/>
      <c r="H215" s="10"/>
      <c r="I215" s="48"/>
      <c r="J215" s="49">
        <f>30/100*(E215+F215+G215)</f>
        <v>1.512</v>
      </c>
      <c r="K215" s="50">
        <f t="shared" ref="K215:K243" si="86">E215+F215+G215+H215+I215+J215</f>
        <v>6.5519999999999996</v>
      </c>
      <c r="L215" s="51">
        <f t="shared" ref="L215:L245" si="87">K215*1490000</f>
        <v>9762480</v>
      </c>
      <c r="M215" s="58"/>
      <c r="N215" s="58"/>
      <c r="O215" s="51">
        <f t="shared" ref="O215:O232" si="88">L215-M215+N215</f>
        <v>9762480</v>
      </c>
      <c r="P215" s="53">
        <f t="shared" ref="P215:P222" si="89">((E215+F215+G215+I215)*1490000-M215)*10.5%</f>
        <v>788508</v>
      </c>
      <c r="Q215" s="54"/>
      <c r="R215" s="53">
        <f t="shared" si="84"/>
        <v>788508</v>
      </c>
      <c r="S215" s="53">
        <f>O215-R215</f>
        <v>8973972</v>
      </c>
      <c r="T215" s="2"/>
    </row>
    <row r="216" spans="1:20" ht="15.75">
      <c r="A216" s="21">
        <v>4</v>
      </c>
      <c r="B216" s="39" t="s">
        <v>21</v>
      </c>
      <c r="C216" s="40" t="s">
        <v>32</v>
      </c>
      <c r="D216" s="55" t="s">
        <v>29</v>
      </c>
      <c r="E216" s="24">
        <v>4.9800000000000004</v>
      </c>
      <c r="F216" s="47">
        <v>0.2</v>
      </c>
      <c r="G216" s="57">
        <f>E216*5%</f>
        <v>0.24900000000000003</v>
      </c>
      <c r="H216" s="10"/>
      <c r="I216" s="48"/>
      <c r="J216" s="49">
        <f t="shared" ref="J216" si="90">30/100*(E216+F216+G216)</f>
        <v>1.6287</v>
      </c>
      <c r="K216" s="50">
        <f t="shared" si="86"/>
        <v>7.0577000000000005</v>
      </c>
      <c r="L216" s="51">
        <f t="shared" si="87"/>
        <v>10515973</v>
      </c>
      <c r="M216" s="58"/>
      <c r="N216" s="58"/>
      <c r="O216" s="51">
        <f t="shared" si="88"/>
        <v>10515973</v>
      </c>
      <c r="P216" s="53">
        <f t="shared" si="89"/>
        <v>849367.04999999993</v>
      </c>
      <c r="Q216" s="54"/>
      <c r="R216" s="53">
        <f t="shared" si="84"/>
        <v>849367.04999999993</v>
      </c>
      <c r="S216" s="53">
        <f t="shared" ref="S216:S218" si="91">O216-R216</f>
        <v>9666605.9499999993</v>
      </c>
      <c r="T216" s="59">
        <v>0.05</v>
      </c>
    </row>
    <row r="217" spans="1:20" ht="15.75">
      <c r="A217" s="21">
        <v>5</v>
      </c>
      <c r="B217" s="39" t="s">
        <v>21</v>
      </c>
      <c r="C217" s="40" t="s">
        <v>82</v>
      </c>
      <c r="D217" s="55" t="s">
        <v>29</v>
      </c>
      <c r="E217" s="24">
        <v>4.9800000000000004</v>
      </c>
      <c r="F217" s="47">
        <v>0.2</v>
      </c>
      <c r="G217" s="57">
        <f>E217*6%</f>
        <v>0.29880000000000001</v>
      </c>
      <c r="H217" s="10"/>
      <c r="I217" s="48"/>
      <c r="J217" s="49">
        <f>30/100*(E217+F217+G217)</f>
        <v>1.6436400000000002</v>
      </c>
      <c r="K217" s="50">
        <f t="shared" si="86"/>
        <v>7.122440000000001</v>
      </c>
      <c r="L217" s="51">
        <f t="shared" si="87"/>
        <v>10612435.600000001</v>
      </c>
      <c r="M217" s="58"/>
      <c r="N217" s="58"/>
      <c r="O217" s="51">
        <f t="shared" si="88"/>
        <v>10612435.600000001</v>
      </c>
      <c r="P217" s="53">
        <f t="shared" si="89"/>
        <v>857158.26</v>
      </c>
      <c r="Q217" s="54"/>
      <c r="R217" s="53">
        <f t="shared" si="84"/>
        <v>857158.26</v>
      </c>
      <c r="S217" s="53">
        <f t="shared" si="91"/>
        <v>9755277.3400000017</v>
      </c>
      <c r="T217" s="59">
        <v>0.06</v>
      </c>
    </row>
    <row r="218" spans="1:20" ht="15.75">
      <c r="A218" s="21">
        <v>6</v>
      </c>
      <c r="B218" s="39" t="s">
        <v>21</v>
      </c>
      <c r="C218" s="40" t="s">
        <v>84</v>
      </c>
      <c r="D218" s="55" t="s">
        <v>62</v>
      </c>
      <c r="E218" s="24">
        <v>4.6500000000000004</v>
      </c>
      <c r="F218" s="47">
        <v>0.25</v>
      </c>
      <c r="G218" s="14"/>
      <c r="H218" s="10"/>
      <c r="I218" s="48"/>
      <c r="J218" s="49">
        <f t="shared" ref="J218" si="92">30/100*(E218+F218+G218)</f>
        <v>1.47</v>
      </c>
      <c r="K218" s="50">
        <f t="shared" si="86"/>
        <v>6.37</v>
      </c>
      <c r="L218" s="51">
        <f t="shared" si="87"/>
        <v>9491300</v>
      </c>
      <c r="M218" s="58"/>
      <c r="N218" s="58"/>
      <c r="O218" s="51">
        <f t="shared" si="88"/>
        <v>9491300</v>
      </c>
      <c r="P218" s="53">
        <f t="shared" si="89"/>
        <v>766605.00000000012</v>
      </c>
      <c r="Q218" s="54"/>
      <c r="R218" s="53">
        <f t="shared" si="84"/>
        <v>766605.00000000012</v>
      </c>
      <c r="S218" s="53">
        <f t="shared" si="91"/>
        <v>8724695</v>
      </c>
      <c r="T218" s="41"/>
    </row>
    <row r="219" spans="1:20" ht="15.75">
      <c r="A219" s="21">
        <v>7</v>
      </c>
      <c r="B219" s="39" t="s">
        <v>22</v>
      </c>
      <c r="C219" s="42" t="s">
        <v>31</v>
      </c>
      <c r="D219" s="55" t="s">
        <v>27</v>
      </c>
      <c r="E219" s="24">
        <v>4.8899999999999997</v>
      </c>
      <c r="F219" s="47"/>
      <c r="G219" s="57"/>
      <c r="H219" s="10"/>
      <c r="I219" s="48"/>
      <c r="J219" s="49">
        <f>30/100*(E219+F219+G219)</f>
        <v>1.4669999999999999</v>
      </c>
      <c r="K219" s="50">
        <f t="shared" si="86"/>
        <v>6.3569999999999993</v>
      </c>
      <c r="L219" s="51">
        <f t="shared" si="87"/>
        <v>9471929.9999999981</v>
      </c>
      <c r="M219" s="58"/>
      <c r="N219" s="58"/>
      <c r="O219" s="51">
        <f t="shared" si="88"/>
        <v>9471929.9999999981</v>
      </c>
      <c r="P219" s="53">
        <f t="shared" si="89"/>
        <v>765040.49999999988</v>
      </c>
      <c r="Q219" s="54"/>
      <c r="R219" s="53">
        <f t="shared" si="84"/>
        <v>765040.49999999988</v>
      </c>
      <c r="S219" s="53">
        <f>O219-R219</f>
        <v>8706889.4999999981</v>
      </c>
      <c r="T219" s="41"/>
    </row>
    <row r="220" spans="1:20" ht="15.75">
      <c r="A220" s="21">
        <v>8</v>
      </c>
      <c r="B220" s="39" t="s">
        <v>21</v>
      </c>
      <c r="C220" s="26" t="s">
        <v>70</v>
      </c>
      <c r="D220" s="55" t="s">
        <v>27</v>
      </c>
      <c r="E220" s="24">
        <v>4.6500000000000004</v>
      </c>
      <c r="F220" s="47"/>
      <c r="G220" s="14"/>
      <c r="H220" s="10"/>
      <c r="I220" s="48"/>
      <c r="J220" s="49">
        <f t="shared" ref="J220:J222" si="93">30/100*(E220+F220+G220)</f>
        <v>1.395</v>
      </c>
      <c r="K220" s="50">
        <f t="shared" si="86"/>
        <v>6.0449999999999999</v>
      </c>
      <c r="L220" s="51">
        <f t="shared" si="87"/>
        <v>9007050</v>
      </c>
      <c r="M220" s="58"/>
      <c r="N220" s="58"/>
      <c r="O220" s="51">
        <f t="shared" si="88"/>
        <v>9007050</v>
      </c>
      <c r="P220" s="53">
        <f t="shared" si="89"/>
        <v>727492.50000000012</v>
      </c>
      <c r="Q220" s="54"/>
      <c r="R220" s="53">
        <f t="shared" si="84"/>
        <v>727492.50000000012</v>
      </c>
      <c r="S220" s="53">
        <f t="shared" ref="S220:S223" si="94">O220-R220</f>
        <v>8279557.5</v>
      </c>
      <c r="T220" s="41"/>
    </row>
    <row r="221" spans="1:20" ht="15.75">
      <c r="A221" s="21">
        <v>9</v>
      </c>
      <c r="B221" s="39" t="s">
        <v>21</v>
      </c>
      <c r="C221" s="26" t="s">
        <v>33</v>
      </c>
      <c r="D221" s="55" t="s">
        <v>29</v>
      </c>
      <c r="E221" s="24">
        <v>4.6500000000000004</v>
      </c>
      <c r="F221" s="47">
        <v>0.2</v>
      </c>
      <c r="G221" s="14"/>
      <c r="H221" s="10"/>
      <c r="I221" s="48"/>
      <c r="J221" s="49">
        <f t="shared" si="93"/>
        <v>1.4550000000000001</v>
      </c>
      <c r="K221" s="50">
        <f t="shared" si="86"/>
        <v>6.3050000000000006</v>
      </c>
      <c r="L221" s="51">
        <f t="shared" si="87"/>
        <v>9394450</v>
      </c>
      <c r="M221" s="58"/>
      <c r="N221" s="58"/>
      <c r="O221" s="51">
        <f t="shared" si="88"/>
        <v>9394450</v>
      </c>
      <c r="P221" s="53">
        <f t="shared" si="89"/>
        <v>758782.50000000012</v>
      </c>
      <c r="Q221" s="54"/>
      <c r="R221" s="53">
        <f t="shared" si="84"/>
        <v>758782.50000000012</v>
      </c>
      <c r="S221" s="53">
        <f t="shared" si="94"/>
        <v>8635667.5</v>
      </c>
      <c r="T221" s="41"/>
    </row>
    <row r="222" spans="1:20" ht="15.75">
      <c r="A222" s="21">
        <v>10</v>
      </c>
      <c r="B222" s="39" t="s">
        <v>21</v>
      </c>
      <c r="C222" s="26" t="s">
        <v>34</v>
      </c>
      <c r="D222" s="55" t="s">
        <v>27</v>
      </c>
      <c r="E222" s="24">
        <v>4.32</v>
      </c>
      <c r="F222" s="47"/>
      <c r="G222" s="14"/>
      <c r="H222" s="10"/>
      <c r="I222" s="48"/>
      <c r="J222" s="49">
        <f t="shared" si="93"/>
        <v>1.296</v>
      </c>
      <c r="K222" s="50">
        <f t="shared" si="86"/>
        <v>5.6160000000000005</v>
      </c>
      <c r="L222" s="51">
        <f t="shared" si="87"/>
        <v>8367840.0000000009</v>
      </c>
      <c r="M222" s="58"/>
      <c r="N222" s="58"/>
      <c r="O222" s="51">
        <f t="shared" si="88"/>
        <v>8367840.0000000009</v>
      </c>
      <c r="P222" s="53">
        <f t="shared" si="89"/>
        <v>675864</v>
      </c>
      <c r="Q222" s="54"/>
      <c r="R222" s="53">
        <f t="shared" si="84"/>
        <v>675864</v>
      </c>
      <c r="S222" s="53">
        <f t="shared" si="94"/>
        <v>7691976.0000000009</v>
      </c>
      <c r="T222" s="41"/>
    </row>
    <row r="223" spans="1:20">
      <c r="A223" s="21">
        <v>11</v>
      </c>
      <c r="B223" s="39" t="s">
        <v>21</v>
      </c>
      <c r="C223" s="42" t="s">
        <v>36</v>
      </c>
      <c r="D223" s="55" t="s">
        <v>29</v>
      </c>
      <c r="E223" s="24">
        <v>4.32</v>
      </c>
      <c r="F223" s="47">
        <v>0.2</v>
      </c>
      <c r="G223" s="33"/>
      <c r="H223" s="35"/>
      <c r="I223" s="48"/>
      <c r="J223" s="49">
        <f>30/100*(E223+F223+G223)</f>
        <v>1.3560000000000001</v>
      </c>
      <c r="K223" s="50">
        <f t="shared" si="86"/>
        <v>5.8760000000000003</v>
      </c>
      <c r="L223" s="51">
        <f t="shared" si="87"/>
        <v>8755240</v>
      </c>
      <c r="M223" s="58"/>
      <c r="N223" s="58"/>
      <c r="O223" s="51">
        <f t="shared" si="88"/>
        <v>8755240</v>
      </c>
      <c r="P223" s="53">
        <f>((E223+F223+G223+I223)*1490000-M223)*10.5%</f>
        <v>707154.00000000012</v>
      </c>
      <c r="Q223" s="54"/>
      <c r="R223" s="53">
        <f t="shared" si="84"/>
        <v>707154.00000000012</v>
      </c>
      <c r="S223" s="53">
        <f t="shared" si="94"/>
        <v>8048086</v>
      </c>
      <c r="T223" s="2"/>
    </row>
    <row r="224" spans="1:20">
      <c r="A224" s="21">
        <v>12</v>
      </c>
      <c r="B224" s="39" t="s">
        <v>64</v>
      </c>
      <c r="C224" s="26" t="s">
        <v>59</v>
      </c>
      <c r="D224" s="55" t="s">
        <v>35</v>
      </c>
      <c r="E224" s="24">
        <v>4.2699999999999996</v>
      </c>
      <c r="F224" s="47">
        <v>0.2</v>
      </c>
      <c r="G224" s="33"/>
      <c r="H224" s="34">
        <v>0.1</v>
      </c>
      <c r="I224" s="48"/>
      <c r="J224" s="49"/>
      <c r="K224" s="50">
        <f t="shared" si="86"/>
        <v>4.5699999999999994</v>
      </c>
      <c r="L224" s="51">
        <f t="shared" si="87"/>
        <v>6809299.9999999991</v>
      </c>
      <c r="M224" s="58"/>
      <c r="N224" s="58"/>
      <c r="O224" s="51">
        <f t="shared" si="88"/>
        <v>6809299.9999999991</v>
      </c>
      <c r="P224" s="53">
        <f>((E224+F224+G224+I224)*1490000-M224)*10.5%</f>
        <v>699331.5</v>
      </c>
      <c r="Q224" s="54"/>
      <c r="R224" s="53">
        <f t="shared" si="84"/>
        <v>699331.5</v>
      </c>
      <c r="S224" s="53">
        <f>O224-R224</f>
        <v>6109968.4999999991</v>
      </c>
      <c r="T224" s="2"/>
    </row>
    <row r="225" spans="1:20">
      <c r="A225" s="21">
        <v>13</v>
      </c>
      <c r="B225" s="39" t="s">
        <v>21</v>
      </c>
      <c r="C225" s="40" t="s">
        <v>69</v>
      </c>
      <c r="D225" s="55" t="s">
        <v>27</v>
      </c>
      <c r="E225" s="24">
        <v>4.32</v>
      </c>
      <c r="F225" s="47"/>
      <c r="G225" s="33"/>
      <c r="H225" s="35"/>
      <c r="I225" s="48"/>
      <c r="J225" s="49">
        <f>30/100*(E225+F225+G225)</f>
        <v>1.296</v>
      </c>
      <c r="K225" s="50">
        <f t="shared" si="86"/>
        <v>5.6160000000000005</v>
      </c>
      <c r="L225" s="51">
        <f t="shared" si="87"/>
        <v>8367840.0000000009</v>
      </c>
      <c r="M225" s="58"/>
      <c r="N225" s="58"/>
      <c r="O225" s="51">
        <f t="shared" si="88"/>
        <v>8367840.0000000009</v>
      </c>
      <c r="P225" s="53">
        <f t="shared" ref="P225:P243" si="95">((E225+F225+G225+I225)*1490000-M225)*10.5%</f>
        <v>675864</v>
      </c>
      <c r="Q225" s="54"/>
      <c r="R225" s="53">
        <f t="shared" si="84"/>
        <v>675864</v>
      </c>
      <c r="S225" s="53">
        <f t="shared" ref="S225:S232" si="96">O225-R225</f>
        <v>7691976.0000000009</v>
      </c>
      <c r="T225" s="2"/>
    </row>
    <row r="226" spans="1:20">
      <c r="A226" s="21">
        <v>14</v>
      </c>
      <c r="B226" s="39" t="s">
        <v>21</v>
      </c>
      <c r="C226" s="40" t="s">
        <v>37</v>
      </c>
      <c r="D226" s="55" t="s">
        <v>27</v>
      </c>
      <c r="E226" s="24">
        <v>4.32</v>
      </c>
      <c r="F226" s="24"/>
      <c r="G226" s="33"/>
      <c r="H226" s="35"/>
      <c r="I226" s="48"/>
      <c r="J226" s="49">
        <f>30/100*(E226+F226+G226)</f>
        <v>1.296</v>
      </c>
      <c r="K226" s="50">
        <f t="shared" si="86"/>
        <v>5.6160000000000005</v>
      </c>
      <c r="L226" s="51">
        <f t="shared" si="87"/>
        <v>8367840.0000000009</v>
      </c>
      <c r="M226" s="58"/>
      <c r="N226" s="58"/>
      <c r="O226" s="51">
        <f t="shared" si="88"/>
        <v>8367840.0000000009</v>
      </c>
      <c r="P226" s="53">
        <f t="shared" si="95"/>
        <v>675864</v>
      </c>
      <c r="Q226" s="54"/>
      <c r="R226" s="53">
        <f t="shared" si="84"/>
        <v>675864</v>
      </c>
      <c r="S226" s="53">
        <f t="shared" si="96"/>
        <v>7691976.0000000009</v>
      </c>
      <c r="T226" s="2"/>
    </row>
    <row r="227" spans="1:20">
      <c r="A227" s="21">
        <v>15</v>
      </c>
      <c r="B227" s="39" t="s">
        <v>21</v>
      </c>
      <c r="C227" s="40" t="s">
        <v>71</v>
      </c>
      <c r="D227" s="55" t="s">
        <v>27</v>
      </c>
      <c r="E227" s="24">
        <v>4.32</v>
      </c>
      <c r="F227" s="24"/>
      <c r="G227" s="33"/>
      <c r="H227" s="35"/>
      <c r="I227" s="48"/>
      <c r="J227" s="49">
        <f t="shared" ref="J227:J229" si="97">30/100*(E227+F227+G227)</f>
        <v>1.296</v>
      </c>
      <c r="K227" s="50">
        <f t="shared" si="86"/>
        <v>5.6160000000000005</v>
      </c>
      <c r="L227" s="51">
        <f t="shared" si="87"/>
        <v>8367840.0000000009</v>
      </c>
      <c r="M227" s="58"/>
      <c r="N227" s="58"/>
      <c r="O227" s="51">
        <f t="shared" si="88"/>
        <v>8367840.0000000009</v>
      </c>
      <c r="P227" s="53">
        <f t="shared" si="95"/>
        <v>675864</v>
      </c>
      <c r="Q227" s="54"/>
      <c r="R227" s="53">
        <f t="shared" si="84"/>
        <v>675864</v>
      </c>
      <c r="S227" s="53">
        <f t="shared" si="96"/>
        <v>7691976.0000000009</v>
      </c>
      <c r="T227" s="41"/>
    </row>
    <row r="228" spans="1:20">
      <c r="A228" s="21">
        <v>16</v>
      </c>
      <c r="B228" s="39" t="s">
        <v>21</v>
      </c>
      <c r="C228" s="40" t="s">
        <v>38</v>
      </c>
      <c r="D228" s="55" t="s">
        <v>27</v>
      </c>
      <c r="E228" s="24">
        <v>4.32</v>
      </c>
      <c r="F228" s="24"/>
      <c r="G228" s="33"/>
      <c r="H228" s="35"/>
      <c r="I228" s="48"/>
      <c r="J228" s="49">
        <f t="shared" si="97"/>
        <v>1.296</v>
      </c>
      <c r="K228" s="50">
        <f t="shared" si="86"/>
        <v>5.6160000000000005</v>
      </c>
      <c r="L228" s="51">
        <f t="shared" si="87"/>
        <v>8367840.0000000009</v>
      </c>
      <c r="M228" s="58"/>
      <c r="N228" s="58"/>
      <c r="O228" s="51">
        <f t="shared" si="88"/>
        <v>8367840.0000000009</v>
      </c>
      <c r="P228" s="53">
        <f t="shared" si="95"/>
        <v>675864</v>
      </c>
      <c r="Q228" s="54"/>
      <c r="R228" s="53">
        <f t="shared" si="84"/>
        <v>675864</v>
      </c>
      <c r="S228" s="53">
        <f t="shared" si="96"/>
        <v>7691976.0000000009</v>
      </c>
      <c r="T228" s="41"/>
    </row>
    <row r="229" spans="1:20">
      <c r="A229" s="21">
        <v>17</v>
      </c>
      <c r="B229" s="39" t="s">
        <v>21</v>
      </c>
      <c r="C229" s="40" t="s">
        <v>72</v>
      </c>
      <c r="D229" s="55" t="s">
        <v>27</v>
      </c>
      <c r="E229" s="24">
        <v>4.32</v>
      </c>
      <c r="F229" s="24"/>
      <c r="G229" s="33"/>
      <c r="H229" s="35"/>
      <c r="I229" s="48"/>
      <c r="J229" s="49">
        <f t="shared" si="97"/>
        <v>1.296</v>
      </c>
      <c r="K229" s="50">
        <f t="shared" si="86"/>
        <v>5.6160000000000005</v>
      </c>
      <c r="L229" s="51">
        <f t="shared" si="87"/>
        <v>8367840.0000000009</v>
      </c>
      <c r="M229" s="58"/>
      <c r="N229" s="58"/>
      <c r="O229" s="51">
        <f t="shared" si="88"/>
        <v>8367840.0000000009</v>
      </c>
      <c r="P229" s="53">
        <f t="shared" si="95"/>
        <v>675864</v>
      </c>
      <c r="Q229" s="54"/>
      <c r="R229" s="53">
        <f t="shared" si="84"/>
        <v>675864</v>
      </c>
      <c r="S229" s="53">
        <f t="shared" si="96"/>
        <v>7691976.0000000009</v>
      </c>
      <c r="T229" s="41"/>
    </row>
    <row r="230" spans="1:20">
      <c r="A230" s="21">
        <v>18</v>
      </c>
      <c r="B230" s="39" t="s">
        <v>21</v>
      </c>
      <c r="C230" s="40" t="s">
        <v>91</v>
      </c>
      <c r="D230" s="55" t="s">
        <v>27</v>
      </c>
      <c r="E230" s="24">
        <v>4.32</v>
      </c>
      <c r="F230" s="24">
        <v>0.15</v>
      </c>
      <c r="G230" s="60"/>
      <c r="H230" s="35"/>
      <c r="I230" s="48"/>
      <c r="J230" s="49">
        <f>30/100*(E230+F230+G230)</f>
        <v>1.3410000000000002</v>
      </c>
      <c r="K230" s="61">
        <f t="shared" si="86"/>
        <v>5.8110000000000008</v>
      </c>
      <c r="L230" s="62">
        <f t="shared" si="87"/>
        <v>8658390.0000000019</v>
      </c>
      <c r="M230" s="63"/>
      <c r="N230" s="63"/>
      <c r="O230" s="62">
        <f t="shared" si="88"/>
        <v>8658390.0000000019</v>
      </c>
      <c r="P230" s="64">
        <f t="shared" si="95"/>
        <v>699331.50000000012</v>
      </c>
      <c r="Q230" s="54"/>
      <c r="R230" s="64">
        <f t="shared" si="84"/>
        <v>699331.50000000012</v>
      </c>
      <c r="S230" s="64">
        <f t="shared" si="96"/>
        <v>7959058.5000000019</v>
      </c>
      <c r="T230" s="41"/>
    </row>
    <row r="231" spans="1:20">
      <c r="A231" s="21">
        <v>19</v>
      </c>
      <c r="B231" s="39" t="s">
        <v>21</v>
      </c>
      <c r="C231" s="40" t="s">
        <v>39</v>
      </c>
      <c r="D231" s="55" t="s">
        <v>27</v>
      </c>
      <c r="E231" s="24">
        <v>4.32</v>
      </c>
      <c r="F231" s="24"/>
      <c r="G231" s="33"/>
      <c r="H231" s="36"/>
      <c r="I231" s="48"/>
      <c r="J231" s="49">
        <f>30/100*(E231+F231+G231)</f>
        <v>1.296</v>
      </c>
      <c r="K231" s="50">
        <f t="shared" si="86"/>
        <v>5.6160000000000005</v>
      </c>
      <c r="L231" s="51">
        <f t="shared" si="87"/>
        <v>8367840.0000000009</v>
      </c>
      <c r="M231" s="58"/>
      <c r="N231" s="58"/>
      <c r="O231" s="51">
        <f t="shared" si="88"/>
        <v>8367840.0000000009</v>
      </c>
      <c r="P231" s="53">
        <f t="shared" si="95"/>
        <v>675864</v>
      </c>
      <c r="Q231" s="54"/>
      <c r="R231" s="53">
        <f t="shared" si="84"/>
        <v>675864</v>
      </c>
      <c r="S231" s="53">
        <f t="shared" si="96"/>
        <v>7691976.0000000009</v>
      </c>
      <c r="T231" s="41"/>
    </row>
    <row r="232" spans="1:20">
      <c r="A232" s="21">
        <v>20</v>
      </c>
      <c r="B232" s="39" t="s">
        <v>22</v>
      </c>
      <c r="C232" s="40" t="s">
        <v>40</v>
      </c>
      <c r="D232" s="55" t="s">
        <v>90</v>
      </c>
      <c r="E232" s="24">
        <v>3.96</v>
      </c>
      <c r="F232" s="24">
        <v>0.15</v>
      </c>
      <c r="G232" s="33"/>
      <c r="H232" s="36"/>
      <c r="I232" s="48"/>
      <c r="J232" s="49">
        <f t="shared" ref="J232" si="98">30/100*(E232+F232+G232)</f>
        <v>1.2330000000000001</v>
      </c>
      <c r="K232" s="50">
        <f t="shared" si="86"/>
        <v>5.343</v>
      </c>
      <c r="L232" s="51">
        <f t="shared" si="87"/>
        <v>7961070</v>
      </c>
      <c r="M232" s="58"/>
      <c r="N232" s="58"/>
      <c r="O232" s="51">
        <f t="shared" si="88"/>
        <v>7961070</v>
      </c>
      <c r="P232" s="53">
        <f t="shared" si="95"/>
        <v>643009.50000000012</v>
      </c>
      <c r="Q232" s="54"/>
      <c r="R232" s="53">
        <f t="shared" si="84"/>
        <v>643009.50000000012</v>
      </c>
      <c r="S232" s="53">
        <f t="shared" si="96"/>
        <v>7318060.5</v>
      </c>
      <c r="T232" s="41"/>
    </row>
    <row r="233" spans="1:20" ht="15.75">
      <c r="A233" s="21">
        <v>21</v>
      </c>
      <c r="B233" s="39" t="s">
        <v>21</v>
      </c>
      <c r="C233" s="40" t="s">
        <v>73</v>
      </c>
      <c r="D233" s="55" t="s">
        <v>27</v>
      </c>
      <c r="E233" s="24">
        <v>3.99</v>
      </c>
      <c r="F233" s="24"/>
      <c r="G233" s="14"/>
      <c r="H233" s="10"/>
      <c r="I233" s="48"/>
      <c r="J233" s="49">
        <f>30/100*(E233+F233+G233)</f>
        <v>1.1970000000000001</v>
      </c>
      <c r="K233" s="50">
        <f t="shared" si="86"/>
        <v>5.1870000000000003</v>
      </c>
      <c r="L233" s="51">
        <f t="shared" si="87"/>
        <v>7728630</v>
      </c>
      <c r="M233" s="65"/>
      <c r="N233" s="65"/>
      <c r="O233" s="51">
        <f>L233-M233+N233</f>
        <v>7728630</v>
      </c>
      <c r="P233" s="53">
        <f t="shared" si="95"/>
        <v>624235.5</v>
      </c>
      <c r="Q233" s="54"/>
      <c r="R233" s="53">
        <f t="shared" si="84"/>
        <v>624235.5</v>
      </c>
      <c r="S233" s="53">
        <f>O233-R233-N233</f>
        <v>7104394.5</v>
      </c>
      <c r="T233" s="41"/>
    </row>
    <row r="234" spans="1:20" ht="15.75">
      <c r="A234" s="21">
        <v>22</v>
      </c>
      <c r="B234" s="39" t="s">
        <v>21</v>
      </c>
      <c r="C234" s="40" t="s">
        <v>41</v>
      </c>
      <c r="D234" s="55" t="s">
        <v>27</v>
      </c>
      <c r="E234" s="24">
        <v>3.99</v>
      </c>
      <c r="F234" s="56"/>
      <c r="G234" s="14"/>
      <c r="H234" s="10"/>
      <c r="I234" s="48"/>
      <c r="J234" s="49">
        <f t="shared" ref="J234:J239" si="99">30/100*(E234+F234+G234)</f>
        <v>1.1970000000000001</v>
      </c>
      <c r="K234" s="50">
        <f t="shared" si="86"/>
        <v>5.1870000000000003</v>
      </c>
      <c r="L234" s="51">
        <f t="shared" si="87"/>
        <v>7728630</v>
      </c>
      <c r="M234" s="58"/>
      <c r="N234" s="58"/>
      <c r="O234" s="51">
        <f t="shared" ref="O234:O239" si="100">L234-M234+N234</f>
        <v>7728630</v>
      </c>
      <c r="P234" s="53">
        <f t="shared" si="95"/>
        <v>624235.5</v>
      </c>
      <c r="Q234" s="54"/>
      <c r="R234" s="53">
        <f t="shared" si="84"/>
        <v>624235.5</v>
      </c>
      <c r="S234" s="53">
        <f t="shared" ref="S234:S237" si="101">O234-R234</f>
        <v>7104394.5</v>
      </c>
      <c r="T234" s="41"/>
    </row>
    <row r="235" spans="1:20">
      <c r="A235" s="21">
        <v>23</v>
      </c>
      <c r="B235" s="39" t="s">
        <v>21</v>
      </c>
      <c r="C235" s="40" t="s">
        <v>42</v>
      </c>
      <c r="D235" s="55" t="s">
        <v>27</v>
      </c>
      <c r="E235" s="24">
        <v>3.99</v>
      </c>
      <c r="F235" s="56"/>
      <c r="G235" s="14"/>
      <c r="H235" s="24">
        <v>0.1</v>
      </c>
      <c r="I235" s="48"/>
      <c r="J235" s="49">
        <f t="shared" si="99"/>
        <v>1.1970000000000001</v>
      </c>
      <c r="K235" s="50">
        <f t="shared" si="86"/>
        <v>5.2869999999999999</v>
      </c>
      <c r="L235" s="51">
        <f t="shared" si="87"/>
        <v>7877630</v>
      </c>
      <c r="M235" s="58"/>
      <c r="N235" s="58"/>
      <c r="O235" s="51">
        <f t="shared" si="100"/>
        <v>7877630</v>
      </c>
      <c r="P235" s="53">
        <f t="shared" si="95"/>
        <v>624235.5</v>
      </c>
      <c r="Q235" s="54"/>
      <c r="R235" s="53">
        <f t="shared" si="84"/>
        <v>624235.5</v>
      </c>
      <c r="S235" s="53">
        <f t="shared" si="101"/>
        <v>7253394.5</v>
      </c>
      <c r="T235" s="41"/>
    </row>
    <row r="236" spans="1:20" ht="15.75">
      <c r="A236" s="21">
        <v>24</v>
      </c>
      <c r="B236" s="39" t="s">
        <v>21</v>
      </c>
      <c r="C236" s="26" t="s">
        <v>74</v>
      </c>
      <c r="D236" s="55" t="s">
        <v>27</v>
      </c>
      <c r="E236" s="24">
        <v>3.99</v>
      </c>
      <c r="F236" s="56"/>
      <c r="G236" s="14"/>
      <c r="H236" s="10"/>
      <c r="I236" s="66"/>
      <c r="J236" s="67">
        <f t="shared" si="99"/>
        <v>1.1970000000000001</v>
      </c>
      <c r="K236" s="68">
        <f t="shared" si="86"/>
        <v>5.1870000000000003</v>
      </c>
      <c r="L236" s="69">
        <f t="shared" si="87"/>
        <v>7728630</v>
      </c>
      <c r="M236" s="70"/>
      <c r="N236" s="70"/>
      <c r="O236" s="69">
        <f t="shared" si="100"/>
        <v>7728630</v>
      </c>
      <c r="P236" s="71">
        <f t="shared" si="95"/>
        <v>624235.5</v>
      </c>
      <c r="Q236" s="54"/>
      <c r="R236" s="71">
        <f t="shared" si="84"/>
        <v>624235.5</v>
      </c>
      <c r="S236" s="71">
        <f t="shared" si="101"/>
        <v>7104394.5</v>
      </c>
      <c r="T236" s="41"/>
    </row>
    <row r="237" spans="1:20" ht="15.75">
      <c r="A237" s="21">
        <v>25</v>
      </c>
      <c r="B237" s="72" t="s">
        <v>21</v>
      </c>
      <c r="C237" s="26" t="s">
        <v>43</v>
      </c>
      <c r="D237" s="55" t="s">
        <v>27</v>
      </c>
      <c r="E237" s="24">
        <v>3.99</v>
      </c>
      <c r="F237" s="56"/>
      <c r="G237" s="14"/>
      <c r="H237" s="10"/>
      <c r="I237" s="66"/>
      <c r="J237" s="67">
        <f t="shared" si="99"/>
        <v>1.1970000000000001</v>
      </c>
      <c r="K237" s="68">
        <f t="shared" si="86"/>
        <v>5.1870000000000003</v>
      </c>
      <c r="L237" s="69">
        <f t="shared" si="87"/>
        <v>7728630</v>
      </c>
      <c r="M237" s="70"/>
      <c r="N237" s="70"/>
      <c r="O237" s="69">
        <f t="shared" si="100"/>
        <v>7728630</v>
      </c>
      <c r="P237" s="71">
        <f t="shared" si="95"/>
        <v>624235.5</v>
      </c>
      <c r="Q237" s="54"/>
      <c r="R237" s="71">
        <f t="shared" si="84"/>
        <v>624235.5</v>
      </c>
      <c r="S237" s="71">
        <f t="shared" si="101"/>
        <v>7104394.5</v>
      </c>
      <c r="T237" s="41"/>
    </row>
    <row r="238" spans="1:20" ht="15.75">
      <c r="A238" s="21">
        <v>26</v>
      </c>
      <c r="B238" s="39" t="s">
        <v>21</v>
      </c>
      <c r="C238" s="26" t="s">
        <v>58</v>
      </c>
      <c r="D238" s="55" t="s">
        <v>27</v>
      </c>
      <c r="E238" s="24">
        <v>3.33</v>
      </c>
      <c r="F238" s="56"/>
      <c r="G238" s="14"/>
      <c r="H238" s="10"/>
      <c r="I238" s="48"/>
      <c r="J238" s="49">
        <f t="shared" si="99"/>
        <v>0.999</v>
      </c>
      <c r="K238" s="50">
        <f t="shared" si="86"/>
        <v>4.3289999999999997</v>
      </c>
      <c r="L238" s="51">
        <f t="shared" si="87"/>
        <v>6450210</v>
      </c>
      <c r="M238" s="58"/>
      <c r="N238" s="58"/>
      <c r="O238" s="51">
        <f t="shared" si="100"/>
        <v>6450210</v>
      </c>
      <c r="P238" s="53">
        <f t="shared" si="95"/>
        <v>520978.5</v>
      </c>
      <c r="Q238" s="54"/>
      <c r="R238" s="53">
        <f t="shared" si="84"/>
        <v>520978.5</v>
      </c>
      <c r="S238" s="53">
        <f>O238-R238</f>
        <v>5929231.5</v>
      </c>
      <c r="T238" s="41"/>
    </row>
    <row r="239" spans="1:20" ht="15.75">
      <c r="A239" s="21">
        <v>27</v>
      </c>
      <c r="B239" s="39" t="s">
        <v>21</v>
      </c>
      <c r="C239" s="40" t="s">
        <v>44</v>
      </c>
      <c r="D239" s="55" t="s">
        <v>27</v>
      </c>
      <c r="E239" s="24">
        <v>3.99</v>
      </c>
      <c r="F239" s="56"/>
      <c r="G239" s="14"/>
      <c r="H239" s="10"/>
      <c r="I239" s="48"/>
      <c r="J239" s="49">
        <f t="shared" si="99"/>
        <v>1.1970000000000001</v>
      </c>
      <c r="K239" s="50">
        <f t="shared" si="86"/>
        <v>5.1870000000000003</v>
      </c>
      <c r="L239" s="51">
        <f t="shared" si="87"/>
        <v>7728630</v>
      </c>
      <c r="M239" s="58"/>
      <c r="N239" s="58"/>
      <c r="O239" s="51">
        <f t="shared" si="100"/>
        <v>7728630</v>
      </c>
      <c r="P239" s="53">
        <f t="shared" si="95"/>
        <v>624235.5</v>
      </c>
      <c r="Q239" s="54"/>
      <c r="R239" s="53">
        <f t="shared" si="84"/>
        <v>624235.5</v>
      </c>
      <c r="S239" s="53">
        <f t="shared" ref="S239:S242" si="102">O239-R239</f>
        <v>7104394.5</v>
      </c>
      <c r="T239" s="41"/>
    </row>
    <row r="240" spans="1:20" ht="15.75">
      <c r="A240" s="21">
        <v>28</v>
      </c>
      <c r="B240" s="39" t="s">
        <v>53</v>
      </c>
      <c r="C240" s="73" t="s">
        <v>75</v>
      </c>
      <c r="D240" s="55" t="s">
        <v>83</v>
      </c>
      <c r="E240" s="74">
        <v>3.46</v>
      </c>
      <c r="F240" s="56">
        <v>0.15</v>
      </c>
      <c r="G240" s="14"/>
      <c r="H240" s="10"/>
      <c r="I240" s="48"/>
      <c r="J240" s="49"/>
      <c r="K240" s="50">
        <f t="shared" si="86"/>
        <v>3.61</v>
      </c>
      <c r="L240" s="51">
        <f t="shared" si="87"/>
        <v>5378900</v>
      </c>
      <c r="M240" s="65">
        <f>L240</f>
        <v>5378900</v>
      </c>
      <c r="N240" s="75"/>
      <c r="O240" s="51">
        <f>L240-M240+N240</f>
        <v>0</v>
      </c>
      <c r="P240" s="53">
        <f t="shared" si="95"/>
        <v>0</v>
      </c>
      <c r="Q240" s="54"/>
      <c r="R240" s="53">
        <f t="shared" si="84"/>
        <v>0</v>
      </c>
      <c r="S240" s="76">
        <f t="shared" si="102"/>
        <v>0</v>
      </c>
      <c r="T240" s="41" t="s">
        <v>166</v>
      </c>
    </row>
    <row r="241" spans="1:20" ht="15.75">
      <c r="A241" s="21">
        <v>29</v>
      </c>
      <c r="B241" s="39" t="s">
        <v>89</v>
      </c>
      <c r="C241" s="42" t="s">
        <v>46</v>
      </c>
      <c r="D241" s="55" t="s">
        <v>27</v>
      </c>
      <c r="E241" s="24">
        <v>4</v>
      </c>
      <c r="F241" s="24"/>
      <c r="G241" s="14"/>
      <c r="H241" s="10"/>
      <c r="I241" s="48"/>
      <c r="J241" s="49">
        <f t="shared" ref="J241:J242" si="103">30/100*(E241+F241+G241)</f>
        <v>1.2</v>
      </c>
      <c r="K241" s="50">
        <f t="shared" si="86"/>
        <v>5.2</v>
      </c>
      <c r="L241" s="51">
        <f t="shared" si="87"/>
        <v>7748000</v>
      </c>
      <c r="M241" s="58"/>
      <c r="N241" s="58"/>
      <c r="O241" s="51">
        <f t="shared" ref="O241:O249" si="104">L241-M241+N241</f>
        <v>7748000</v>
      </c>
      <c r="P241" s="53">
        <f t="shared" si="95"/>
        <v>625800</v>
      </c>
      <c r="Q241" s="54"/>
      <c r="R241" s="53">
        <f t="shared" si="84"/>
        <v>625800</v>
      </c>
      <c r="S241" s="76">
        <f t="shared" si="102"/>
        <v>7122200</v>
      </c>
      <c r="T241" s="41"/>
    </row>
    <row r="242" spans="1:20" ht="15.75">
      <c r="A242" s="21">
        <v>30</v>
      </c>
      <c r="B242" s="39" t="s">
        <v>21</v>
      </c>
      <c r="C242" s="40" t="s">
        <v>47</v>
      </c>
      <c r="D242" s="55" t="s">
        <v>27</v>
      </c>
      <c r="E242" s="24">
        <v>3.99</v>
      </c>
      <c r="F242" s="24"/>
      <c r="G242" s="14"/>
      <c r="H242" s="10"/>
      <c r="I242" s="48"/>
      <c r="J242" s="49">
        <f t="shared" si="103"/>
        <v>1.1970000000000001</v>
      </c>
      <c r="K242" s="50">
        <f t="shared" si="86"/>
        <v>5.1870000000000003</v>
      </c>
      <c r="L242" s="51">
        <f t="shared" si="87"/>
        <v>7728630</v>
      </c>
      <c r="M242" s="53"/>
      <c r="N242" s="58"/>
      <c r="O242" s="51">
        <f t="shared" si="104"/>
        <v>7728630</v>
      </c>
      <c r="P242" s="53">
        <f t="shared" si="95"/>
        <v>624235.5</v>
      </c>
      <c r="Q242" s="54"/>
      <c r="R242" s="53">
        <f t="shared" si="84"/>
        <v>624235.5</v>
      </c>
      <c r="S242" s="76">
        <f t="shared" si="102"/>
        <v>7104394.5</v>
      </c>
      <c r="T242" s="41"/>
    </row>
    <row r="243" spans="1:20" ht="15.75">
      <c r="A243" s="21">
        <v>31</v>
      </c>
      <c r="B243" s="39" t="s">
        <v>21</v>
      </c>
      <c r="C243" s="40" t="s">
        <v>48</v>
      </c>
      <c r="D243" s="55" t="s">
        <v>27</v>
      </c>
      <c r="E243" s="24">
        <v>3.66</v>
      </c>
      <c r="F243" s="24"/>
      <c r="G243" s="14"/>
      <c r="H243" s="10"/>
      <c r="I243" s="48"/>
      <c r="J243" s="49">
        <f>30/100*(E243+F243+G243)</f>
        <v>1.0980000000000001</v>
      </c>
      <c r="K243" s="50">
        <f t="shared" si="86"/>
        <v>4.758</v>
      </c>
      <c r="L243" s="51">
        <f t="shared" si="87"/>
        <v>7089420</v>
      </c>
      <c r="M243" s="53"/>
      <c r="N243" s="58"/>
      <c r="O243" s="51">
        <f t="shared" si="104"/>
        <v>7089420</v>
      </c>
      <c r="P243" s="53">
        <f t="shared" si="95"/>
        <v>572607</v>
      </c>
      <c r="Q243" s="54"/>
      <c r="R243" s="53">
        <f t="shared" si="84"/>
        <v>572607</v>
      </c>
      <c r="S243" s="76">
        <f>O243-R243</f>
        <v>6516813</v>
      </c>
      <c r="T243" s="41"/>
    </row>
    <row r="244" spans="1:20" ht="15.75">
      <c r="A244" s="21">
        <v>32</v>
      </c>
      <c r="B244" s="39" t="s">
        <v>21</v>
      </c>
      <c r="C244" s="40" t="s">
        <v>92</v>
      </c>
      <c r="D244" s="55" t="s">
        <v>27</v>
      </c>
      <c r="E244" s="24">
        <v>3.33</v>
      </c>
      <c r="F244" s="24"/>
      <c r="G244" s="14"/>
      <c r="H244" s="10"/>
      <c r="I244" s="48"/>
      <c r="J244" s="49">
        <f>30/100*(E244+F244+G244)</f>
        <v>0.999</v>
      </c>
      <c r="K244" s="50">
        <f>E244+F244+G244+H244+I244+J244</f>
        <v>4.3289999999999997</v>
      </c>
      <c r="L244" s="51">
        <f t="shared" si="87"/>
        <v>6450210</v>
      </c>
      <c r="M244" s="53"/>
      <c r="N244" s="53"/>
      <c r="O244" s="51">
        <f t="shared" si="104"/>
        <v>6450210</v>
      </c>
      <c r="P244" s="53">
        <f>((E244+F244+G244+I244)*1490000)*10.5%</f>
        <v>520978.5</v>
      </c>
      <c r="Q244" s="54"/>
      <c r="R244" s="53">
        <f t="shared" si="84"/>
        <v>520978.5</v>
      </c>
      <c r="S244" s="76">
        <f t="shared" ref="S244:S245" si="105">O244-R244</f>
        <v>5929231.5</v>
      </c>
      <c r="T244" s="41"/>
    </row>
    <row r="245" spans="1:20" ht="15.75">
      <c r="A245" s="21">
        <v>33</v>
      </c>
      <c r="B245" s="39" t="s">
        <v>21</v>
      </c>
      <c r="C245" s="40" t="s">
        <v>93</v>
      </c>
      <c r="D245" s="55" t="s">
        <v>27</v>
      </c>
      <c r="E245" s="24">
        <v>3.66</v>
      </c>
      <c r="F245" s="24"/>
      <c r="G245" s="14"/>
      <c r="H245" s="10"/>
      <c r="I245" s="48"/>
      <c r="J245" s="49">
        <f>30/100*(E245+F245+G245)</f>
        <v>1.0980000000000001</v>
      </c>
      <c r="K245" s="50">
        <f>E245+F245+G245+H245+I245+J245</f>
        <v>4.758</v>
      </c>
      <c r="L245" s="51">
        <f t="shared" si="87"/>
        <v>7089420</v>
      </c>
      <c r="M245" s="53"/>
      <c r="N245" s="53"/>
      <c r="O245" s="51">
        <f t="shared" si="104"/>
        <v>7089420</v>
      </c>
      <c r="P245" s="53">
        <f>((E245+F245+G245+I245)*1490000)*10.5%</f>
        <v>572607</v>
      </c>
      <c r="Q245" s="54"/>
      <c r="R245" s="53">
        <f t="shared" si="84"/>
        <v>572607</v>
      </c>
      <c r="S245" s="76">
        <f t="shared" si="105"/>
        <v>6516813</v>
      </c>
      <c r="T245" s="41"/>
    </row>
    <row r="246" spans="1:20" ht="15.75">
      <c r="A246" s="21">
        <v>34</v>
      </c>
      <c r="B246" s="39" t="s">
        <v>94</v>
      </c>
      <c r="C246" s="42" t="s">
        <v>95</v>
      </c>
      <c r="D246" s="77" t="s">
        <v>27</v>
      </c>
      <c r="E246" s="24">
        <v>3</v>
      </c>
      <c r="F246" s="24"/>
      <c r="G246" s="14"/>
      <c r="H246" s="11"/>
      <c r="I246" s="48"/>
      <c r="J246" s="49">
        <f>30/100*(E246+F246+G246)</f>
        <v>0.89999999999999991</v>
      </c>
      <c r="K246" s="50">
        <f>E246+F246+G246+H246+I246+J246</f>
        <v>3.9</v>
      </c>
      <c r="L246" s="51">
        <f>K246*1490000</f>
        <v>5811000</v>
      </c>
      <c r="M246" s="65"/>
      <c r="N246" s="65"/>
      <c r="O246" s="51">
        <f t="shared" si="104"/>
        <v>5811000</v>
      </c>
      <c r="P246" s="53">
        <f t="shared" ref="P246:P247" si="106">((E246+F246+G246+I246)*1490000-M246)*10.5%</f>
        <v>469350</v>
      </c>
      <c r="Q246" s="54"/>
      <c r="R246" s="53">
        <f t="shared" si="84"/>
        <v>469350</v>
      </c>
      <c r="S246" s="76">
        <f>O246-R246-N246</f>
        <v>5341650</v>
      </c>
      <c r="T246" s="41"/>
    </row>
    <row r="247" spans="1:20">
      <c r="A247" s="21">
        <v>35</v>
      </c>
      <c r="B247" s="39" t="s">
        <v>23</v>
      </c>
      <c r="C247" s="40" t="s">
        <v>49</v>
      </c>
      <c r="D247" s="55" t="s">
        <v>45</v>
      </c>
      <c r="E247" s="24">
        <v>3.34</v>
      </c>
      <c r="F247" s="24"/>
      <c r="G247" s="14"/>
      <c r="H247" s="24">
        <v>0.2</v>
      </c>
      <c r="I247" s="48"/>
      <c r="J247" s="49"/>
      <c r="K247" s="50">
        <f t="shared" ref="K247" si="107">E247+F247+G247+H247+I247+J247</f>
        <v>3.54</v>
      </c>
      <c r="L247" s="51">
        <f t="shared" ref="L247" si="108">K247*1490000</f>
        <v>5274600</v>
      </c>
      <c r="M247" s="53"/>
      <c r="N247" s="58"/>
      <c r="O247" s="51">
        <f t="shared" si="104"/>
        <v>5274600</v>
      </c>
      <c r="P247" s="53">
        <f t="shared" si="106"/>
        <v>522543</v>
      </c>
      <c r="Q247" s="54"/>
      <c r="R247" s="53">
        <f t="shared" si="84"/>
        <v>522543</v>
      </c>
      <c r="S247" s="76">
        <f>O247-R247</f>
        <v>4752057</v>
      </c>
      <c r="T247" s="41"/>
    </row>
    <row r="248" spans="1:20">
      <c r="A248" s="21">
        <v>36</v>
      </c>
      <c r="B248" s="39" t="s">
        <v>52</v>
      </c>
      <c r="C248" s="40" t="s">
        <v>50</v>
      </c>
      <c r="D248" s="77" t="s">
        <v>45</v>
      </c>
      <c r="E248" s="24">
        <v>2.86</v>
      </c>
      <c r="F248" s="24"/>
      <c r="G248" s="14"/>
      <c r="H248" s="24">
        <v>0.2</v>
      </c>
      <c r="I248" s="48"/>
      <c r="J248" s="49"/>
      <c r="K248" s="50">
        <f>E248+F248+G248+H248+I248+J248</f>
        <v>3.06</v>
      </c>
      <c r="L248" s="51">
        <f>K248*1490000</f>
        <v>4559400</v>
      </c>
      <c r="M248" s="53"/>
      <c r="N248" s="51"/>
      <c r="O248" s="51">
        <f t="shared" si="104"/>
        <v>4559400</v>
      </c>
      <c r="P248" s="53">
        <f>((E248+F248+G248+I248)*1490000)*10.5%</f>
        <v>447447</v>
      </c>
      <c r="Q248" s="53"/>
      <c r="R248" s="53">
        <f t="shared" si="84"/>
        <v>447447</v>
      </c>
      <c r="S248" s="76">
        <f>O248-R248</f>
        <v>4111953</v>
      </c>
      <c r="T248" s="41"/>
    </row>
    <row r="249" spans="1:20" ht="15.75">
      <c r="A249" s="21">
        <v>37</v>
      </c>
      <c r="B249" s="39" t="s">
        <v>54</v>
      </c>
      <c r="C249" s="40" t="s">
        <v>51</v>
      </c>
      <c r="D249" s="77" t="s">
        <v>96</v>
      </c>
      <c r="E249" s="24"/>
      <c r="F249" s="24"/>
      <c r="G249" s="14"/>
      <c r="H249" s="11"/>
      <c r="I249" s="48"/>
      <c r="J249" s="49"/>
      <c r="K249" s="50"/>
      <c r="L249" s="51">
        <v>3920000</v>
      </c>
      <c r="M249" s="53"/>
      <c r="N249" s="58"/>
      <c r="O249" s="51">
        <f t="shared" si="104"/>
        <v>3920000</v>
      </c>
      <c r="P249" s="53">
        <f>O249*10.5%</f>
        <v>411600</v>
      </c>
      <c r="Q249" s="53"/>
      <c r="R249" s="53">
        <f t="shared" si="84"/>
        <v>411600</v>
      </c>
      <c r="S249" s="76">
        <f>O249-R249</f>
        <v>3508400</v>
      </c>
      <c r="T249" s="2"/>
    </row>
    <row r="250" spans="1:20" ht="15.75">
      <c r="A250" s="2"/>
      <c r="B250" s="2"/>
      <c r="C250" s="3" t="s">
        <v>14</v>
      </c>
      <c r="D250" s="5"/>
      <c r="E250" s="27">
        <f t="shared" ref="E250" si="109">SUM(E213:E249)</f>
        <v>149.36999999999995</v>
      </c>
      <c r="F250" s="78">
        <f>SUM(F213:F249)</f>
        <v>2.1999999999999997</v>
      </c>
      <c r="G250" s="27">
        <f>SUM(G213:G249)</f>
        <v>0.84660000000000002</v>
      </c>
      <c r="H250" s="78">
        <f>SUM(H213:H249)</f>
        <v>0.60000000000000009</v>
      </c>
      <c r="I250" s="27">
        <f>SUM(I213:I249)</f>
        <v>0</v>
      </c>
      <c r="J250" s="27">
        <f t="shared" ref="J250" si="110">SUM(J213:J249)</f>
        <v>41.440980000000003</v>
      </c>
      <c r="K250" s="27">
        <f>SUM(K213:K249)</f>
        <v>194.45758000000009</v>
      </c>
      <c r="L250" s="28">
        <f t="shared" ref="L250:O250" si="111">SUM(L213:L249)</f>
        <v>293661794.19999999</v>
      </c>
      <c r="M250" s="75">
        <f t="shared" si="111"/>
        <v>5378900</v>
      </c>
      <c r="N250" s="75">
        <f t="shared" si="111"/>
        <v>0</v>
      </c>
      <c r="O250" s="28">
        <f t="shared" si="111"/>
        <v>288282894.19999999</v>
      </c>
      <c r="P250" s="28">
        <f>SUM(P213:P249)</f>
        <v>23612379.57</v>
      </c>
      <c r="Q250" s="28">
        <f>SUM(Q213:Q249)</f>
        <v>0</v>
      </c>
      <c r="R250" s="28">
        <f t="shared" ref="R250" si="112">SUM(R213:R249)</f>
        <v>23612379.57</v>
      </c>
      <c r="S250" s="32">
        <f>SUM(S213:S249)</f>
        <v>264670514.63</v>
      </c>
      <c r="T250" s="2"/>
    </row>
    <row r="251" spans="1:20">
      <c r="E251" s="9"/>
      <c r="F251" s="9"/>
      <c r="G251" s="9"/>
      <c r="H251" s="9"/>
      <c r="I251" s="19"/>
      <c r="J251" s="17"/>
    </row>
    <row r="252" spans="1:20">
      <c r="A252" s="1" t="s">
        <v>100</v>
      </c>
      <c r="D252" s="210" t="s">
        <v>182</v>
      </c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</row>
    <row r="253" spans="1:20" ht="15.75">
      <c r="A253" s="6"/>
      <c r="E253" s="9"/>
      <c r="F253" s="9"/>
      <c r="G253" s="9"/>
      <c r="H253" s="9"/>
      <c r="I253" s="19"/>
      <c r="J253" s="17"/>
      <c r="S253" s="15"/>
    </row>
    <row r="254" spans="1:20">
      <c r="A254" s="7"/>
      <c r="B254" s="7"/>
      <c r="C254" s="7"/>
      <c r="D254" s="211"/>
      <c r="E254" s="212"/>
      <c r="F254" s="212"/>
      <c r="G254" s="37"/>
      <c r="H254" s="37"/>
      <c r="I254" s="19"/>
      <c r="J254" s="17"/>
      <c r="N254" s="43"/>
      <c r="O254" s="43"/>
      <c r="P254" s="213" t="s">
        <v>177</v>
      </c>
      <c r="Q254" s="213"/>
      <c r="R254" s="213"/>
      <c r="S254" s="213"/>
    </row>
    <row r="255" spans="1:20">
      <c r="A255" s="214" t="s">
        <v>77</v>
      </c>
      <c r="B255" s="214"/>
      <c r="C255" s="214"/>
      <c r="D255" s="214"/>
      <c r="E255" s="214"/>
      <c r="F255" s="9"/>
      <c r="G255" s="44"/>
      <c r="H255" s="44"/>
      <c r="I255" s="19"/>
      <c r="J255" s="214" t="s">
        <v>79</v>
      </c>
      <c r="K255" s="214"/>
      <c r="L255" s="214"/>
      <c r="M255" s="214"/>
      <c r="P255" s="215" t="s">
        <v>65</v>
      </c>
      <c r="Q255" s="215"/>
      <c r="R255" s="215"/>
      <c r="S255" s="215"/>
    </row>
    <row r="256" spans="1:20">
      <c r="A256" s="216" t="s">
        <v>78</v>
      </c>
      <c r="B256" s="216"/>
      <c r="C256" s="216"/>
      <c r="D256" s="216"/>
      <c r="E256" s="9"/>
      <c r="F256" s="9"/>
      <c r="G256" s="9"/>
      <c r="H256" s="9"/>
      <c r="I256" s="19"/>
      <c r="J256" s="216" t="s">
        <v>80</v>
      </c>
      <c r="K256" s="216"/>
      <c r="L256" s="216"/>
      <c r="P256" s="217" t="s">
        <v>66</v>
      </c>
      <c r="Q256" s="217"/>
      <c r="R256" s="217"/>
      <c r="S256" s="217"/>
    </row>
    <row r="257" spans="1:19">
      <c r="C257">
        <f>1202923147-200-904250697</f>
        <v>298672250</v>
      </c>
      <c r="E257" s="9"/>
      <c r="F257" s="9"/>
      <c r="G257" s="9"/>
      <c r="H257" s="9"/>
      <c r="I257" s="19"/>
      <c r="J257" s="17"/>
    </row>
    <row r="258" spans="1:19">
      <c r="C258" s="79">
        <f>45664800+46564800+48754800</f>
        <v>140984400</v>
      </c>
      <c r="E258" s="9"/>
      <c r="F258" s="9"/>
      <c r="G258" s="9"/>
      <c r="H258" s="9"/>
      <c r="I258" s="19"/>
      <c r="J258" s="17"/>
    </row>
    <row r="259" spans="1:19">
      <c r="E259" s="9"/>
      <c r="F259" s="9"/>
      <c r="G259" s="9"/>
      <c r="H259" s="9"/>
      <c r="I259" s="19"/>
      <c r="J259" s="17"/>
      <c r="L259" s="12"/>
      <c r="P259" s="16"/>
    </row>
    <row r="260" spans="1:19">
      <c r="E260" s="9"/>
      <c r="F260" s="9"/>
      <c r="G260" s="9"/>
      <c r="H260" s="9"/>
      <c r="I260" s="19"/>
      <c r="J260" s="17"/>
    </row>
    <row r="261" spans="1:19" ht="15.75">
      <c r="B261" s="209" t="s">
        <v>97</v>
      </c>
      <c r="C261" s="209"/>
      <c r="D261" s="209"/>
      <c r="E261" s="9"/>
      <c r="F261" s="9"/>
      <c r="G261" s="9"/>
      <c r="H261" s="9"/>
      <c r="I261" s="19"/>
      <c r="J261" s="209" t="s">
        <v>59</v>
      </c>
      <c r="K261" s="209"/>
      <c r="L261" s="209"/>
      <c r="M261" s="209"/>
      <c r="P261" s="209" t="s">
        <v>81</v>
      </c>
      <c r="Q261" s="209"/>
      <c r="R261" s="209"/>
      <c r="S261" s="209"/>
    </row>
    <row r="270" spans="1:19" ht="15.75">
      <c r="A270" s="227" t="s">
        <v>55</v>
      </c>
      <c r="B270" s="227"/>
      <c r="C270" s="227"/>
      <c r="D270" s="227"/>
      <c r="E270" s="227"/>
      <c r="F270" s="227"/>
      <c r="G270" s="227"/>
      <c r="H270" s="227"/>
      <c r="I270" s="19"/>
      <c r="J270" s="17"/>
      <c r="Q270" s="228" t="s">
        <v>235</v>
      </c>
      <c r="R270" s="228"/>
      <c r="S270" s="228"/>
    </row>
    <row r="271" spans="1:19">
      <c r="A271" s="229" t="s">
        <v>67</v>
      </c>
      <c r="B271" s="229"/>
      <c r="C271" s="229"/>
      <c r="D271" s="229"/>
      <c r="E271" s="229"/>
      <c r="F271" s="229"/>
      <c r="G271" s="229"/>
      <c r="H271" s="9"/>
      <c r="I271" s="19"/>
      <c r="J271" s="17"/>
      <c r="R271" s="230" t="s">
        <v>68</v>
      </c>
      <c r="S271" s="230"/>
    </row>
    <row r="272" spans="1:19" ht="15.75">
      <c r="A272" s="227" t="s">
        <v>56</v>
      </c>
      <c r="B272" s="227"/>
      <c r="C272" s="227"/>
      <c r="D272" s="227"/>
      <c r="E272" s="227"/>
      <c r="F272" s="227"/>
      <c r="G272" s="227"/>
      <c r="H272" s="9"/>
      <c r="I272" s="19"/>
      <c r="J272" s="17"/>
      <c r="R272" s="29" t="s">
        <v>63</v>
      </c>
    </row>
    <row r="273" spans="1:20" ht="20.25">
      <c r="A273" s="231" t="s">
        <v>76</v>
      </c>
      <c r="B273" s="231"/>
      <c r="C273" s="231"/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</row>
    <row r="274" spans="1:20" ht="18.75">
      <c r="A274" s="232" t="s">
        <v>234</v>
      </c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</row>
    <row r="275" spans="1:20">
      <c r="A275" s="225" t="s">
        <v>0</v>
      </c>
      <c r="B275" s="226" t="s">
        <v>1</v>
      </c>
      <c r="C275" s="226" t="s">
        <v>2</v>
      </c>
      <c r="D275" s="226" t="s">
        <v>3</v>
      </c>
      <c r="E275" s="226" t="s">
        <v>20</v>
      </c>
      <c r="F275" s="226"/>
      <c r="G275" s="226"/>
      <c r="H275" s="226"/>
      <c r="I275" s="226"/>
      <c r="J275" s="226"/>
      <c r="K275" s="226"/>
      <c r="L275" s="226"/>
      <c r="M275" s="233" t="s">
        <v>9</v>
      </c>
      <c r="N275" s="233" t="s">
        <v>11</v>
      </c>
      <c r="O275" s="226" t="s">
        <v>12</v>
      </c>
      <c r="P275" s="234" t="s">
        <v>13</v>
      </c>
      <c r="Q275" s="235"/>
      <c r="R275" s="236"/>
      <c r="S275" s="226" t="s">
        <v>15</v>
      </c>
      <c r="T275" s="218" t="s">
        <v>57</v>
      </c>
    </row>
    <row r="276" spans="1:20">
      <c r="A276" s="225"/>
      <c r="B276" s="226"/>
      <c r="C276" s="226"/>
      <c r="D276" s="226"/>
      <c r="E276" s="221" t="s">
        <v>4</v>
      </c>
      <c r="F276" s="222" t="s">
        <v>5</v>
      </c>
      <c r="G276" s="223" t="s">
        <v>6</v>
      </c>
      <c r="H276" s="223"/>
      <c r="I276" s="223"/>
      <c r="J276" s="223"/>
      <c r="K276" s="224" t="s">
        <v>7</v>
      </c>
      <c r="L276" s="224" t="s">
        <v>8</v>
      </c>
      <c r="M276" s="233"/>
      <c r="N276" s="233"/>
      <c r="O276" s="226"/>
      <c r="P276" s="225" t="s">
        <v>10</v>
      </c>
      <c r="Q276" s="226" t="s">
        <v>85</v>
      </c>
      <c r="R276" s="225" t="s">
        <v>14</v>
      </c>
      <c r="S276" s="226"/>
      <c r="T276" s="219"/>
    </row>
    <row r="277" spans="1:20" ht="42">
      <c r="A277" s="225"/>
      <c r="B277" s="226"/>
      <c r="C277" s="226"/>
      <c r="D277" s="226"/>
      <c r="E277" s="221"/>
      <c r="F277" s="222"/>
      <c r="G277" s="155" t="s">
        <v>26</v>
      </c>
      <c r="H277" s="155" t="s">
        <v>86</v>
      </c>
      <c r="I277" s="20" t="s">
        <v>24</v>
      </c>
      <c r="J277" s="18" t="s">
        <v>25</v>
      </c>
      <c r="K277" s="224"/>
      <c r="L277" s="224"/>
      <c r="M277" s="233"/>
      <c r="N277" s="233"/>
      <c r="O277" s="226"/>
      <c r="P277" s="225"/>
      <c r="Q277" s="226"/>
      <c r="R277" s="225"/>
      <c r="S277" s="226"/>
      <c r="T277" s="220"/>
    </row>
    <row r="278" spans="1:20">
      <c r="A278" s="4" t="s">
        <v>16</v>
      </c>
      <c r="B278" s="4" t="s">
        <v>17</v>
      </c>
      <c r="C278" s="4" t="s">
        <v>18</v>
      </c>
      <c r="D278" s="4" t="s">
        <v>19</v>
      </c>
      <c r="E278" s="13">
        <v>1</v>
      </c>
      <c r="F278" s="13">
        <v>2</v>
      </c>
      <c r="G278" s="13">
        <v>3</v>
      </c>
      <c r="H278" s="13">
        <v>4</v>
      </c>
      <c r="I278" s="13">
        <v>5</v>
      </c>
      <c r="J278" s="23">
        <v>6</v>
      </c>
      <c r="K278" s="4">
        <v>7</v>
      </c>
      <c r="L278" s="4">
        <v>8</v>
      </c>
      <c r="M278" s="4">
        <v>9</v>
      </c>
      <c r="N278" s="4">
        <v>10</v>
      </c>
      <c r="O278" s="30" t="s">
        <v>87</v>
      </c>
      <c r="P278" s="30">
        <v>12</v>
      </c>
      <c r="Q278" s="30">
        <v>13</v>
      </c>
      <c r="R278" s="30">
        <v>14</v>
      </c>
      <c r="S278" s="30" t="s">
        <v>88</v>
      </c>
      <c r="T278" s="2"/>
    </row>
    <row r="279" spans="1:20">
      <c r="A279" s="21">
        <v>1</v>
      </c>
      <c r="B279" s="39" t="s">
        <v>89</v>
      </c>
      <c r="C279" s="42" t="s">
        <v>60</v>
      </c>
      <c r="D279" s="46" t="s">
        <v>61</v>
      </c>
      <c r="E279" s="47">
        <v>5.0199999999999996</v>
      </c>
      <c r="F279" s="47">
        <v>0.35</v>
      </c>
      <c r="G279" s="25"/>
      <c r="H279" s="22"/>
      <c r="I279" s="48"/>
      <c r="J279" s="49">
        <f>30/100*(E279+F279+G279)</f>
        <v>1.6109999999999998</v>
      </c>
      <c r="K279" s="50">
        <f>E279+F279+G279+H279+I279+J279</f>
        <v>6.980999999999999</v>
      </c>
      <c r="L279" s="51">
        <f>K279*1490000</f>
        <v>10401689.999999998</v>
      </c>
      <c r="M279" s="52"/>
      <c r="N279" s="52"/>
      <c r="O279" s="51">
        <f>L279-M279+N279</f>
        <v>10401689.999999998</v>
      </c>
      <c r="P279" s="53">
        <f>((E279+F279+G279+I279)*1490000-M279)*9.5%</f>
        <v>760123.49999999988</v>
      </c>
      <c r="Q279" s="54"/>
      <c r="R279" s="53">
        <f>P279+Q279</f>
        <v>760123.49999999988</v>
      </c>
      <c r="S279" s="53">
        <f>O279-R279</f>
        <v>9641566.4999999981</v>
      </c>
      <c r="T279" s="41"/>
    </row>
    <row r="280" spans="1:20" ht="15.75">
      <c r="A280" s="21">
        <v>2</v>
      </c>
      <c r="B280" s="39" t="s">
        <v>21</v>
      </c>
      <c r="C280" s="40" t="s">
        <v>28</v>
      </c>
      <c r="D280" s="55" t="s">
        <v>27</v>
      </c>
      <c r="E280" s="24">
        <v>4.9800000000000004</v>
      </c>
      <c r="F280" s="56"/>
      <c r="G280" s="57">
        <f>E280*6%</f>
        <v>0.29880000000000001</v>
      </c>
      <c r="H280" s="10"/>
      <c r="I280" s="48"/>
      <c r="J280" s="49">
        <f>30/100*(E280+F280+G280)</f>
        <v>1.5836400000000002</v>
      </c>
      <c r="K280" s="50">
        <f>E280+F280+G280+H280+I280+J280</f>
        <v>6.8624400000000003</v>
      </c>
      <c r="L280" s="51">
        <f>K280*1490000</f>
        <v>10225035.6</v>
      </c>
      <c r="M280" s="58"/>
      <c r="N280" s="58"/>
      <c r="O280" s="51">
        <f>L280-M280+N280</f>
        <v>10225035.6</v>
      </c>
      <c r="P280" s="53">
        <f>((E280+F280+G280+I280)*1490000-M280)*10.5%</f>
        <v>825868.26</v>
      </c>
      <c r="Q280" s="54"/>
      <c r="R280" s="53">
        <f t="shared" ref="R280:R315" si="113">P280+Q280</f>
        <v>825868.26</v>
      </c>
      <c r="S280" s="53">
        <f t="shared" ref="S280" si="114">O280-R280</f>
        <v>9399167.3399999999</v>
      </c>
      <c r="T280" s="59">
        <v>0.06</v>
      </c>
    </row>
    <row r="281" spans="1:20" ht="15.75">
      <c r="A281" s="21">
        <v>3</v>
      </c>
      <c r="B281" s="39" t="s">
        <v>22</v>
      </c>
      <c r="C281" s="40" t="s">
        <v>30</v>
      </c>
      <c r="D281" s="55" t="s">
        <v>90</v>
      </c>
      <c r="E281" s="24">
        <v>4.8899999999999997</v>
      </c>
      <c r="F281" s="47">
        <v>0.15</v>
      </c>
      <c r="G281" s="57"/>
      <c r="H281" s="10"/>
      <c r="I281" s="48"/>
      <c r="J281" s="49">
        <f>30/100*(E281+F281+G281)</f>
        <v>1.512</v>
      </c>
      <c r="K281" s="50">
        <f t="shared" ref="K281:K309" si="115">E281+F281+G281+H281+I281+J281</f>
        <v>6.5519999999999996</v>
      </c>
      <c r="L281" s="51">
        <f t="shared" ref="L281:L311" si="116">K281*1490000</f>
        <v>9762480</v>
      </c>
      <c r="M281" s="58"/>
      <c r="N281" s="58"/>
      <c r="O281" s="51">
        <f t="shared" ref="O281:O298" si="117">L281-M281+N281</f>
        <v>9762480</v>
      </c>
      <c r="P281" s="53">
        <f t="shared" ref="P281:P288" si="118">((E281+F281+G281+I281)*1490000-M281)*10.5%</f>
        <v>788508</v>
      </c>
      <c r="Q281" s="54"/>
      <c r="R281" s="53">
        <f t="shared" si="113"/>
        <v>788508</v>
      </c>
      <c r="S281" s="53">
        <f>O281-R281</f>
        <v>8973972</v>
      </c>
      <c r="T281" s="2"/>
    </row>
    <row r="282" spans="1:20" ht="15.75">
      <c r="A282" s="21">
        <v>4</v>
      </c>
      <c r="B282" s="39" t="s">
        <v>21</v>
      </c>
      <c r="C282" s="40" t="s">
        <v>32</v>
      </c>
      <c r="D282" s="55" t="s">
        <v>29</v>
      </c>
      <c r="E282" s="24">
        <v>4.9800000000000004</v>
      </c>
      <c r="F282" s="47">
        <v>0.2</v>
      </c>
      <c r="G282" s="57">
        <f>E282*5%</f>
        <v>0.24900000000000003</v>
      </c>
      <c r="H282" s="10"/>
      <c r="I282" s="48"/>
      <c r="J282" s="49">
        <f t="shared" ref="J282" si="119">30/100*(E282+F282+G282)</f>
        <v>1.6287</v>
      </c>
      <c r="K282" s="50">
        <f t="shared" si="115"/>
        <v>7.0577000000000005</v>
      </c>
      <c r="L282" s="51">
        <f t="shared" si="116"/>
        <v>10515973</v>
      </c>
      <c r="M282" s="58"/>
      <c r="N282" s="58"/>
      <c r="O282" s="51">
        <f t="shared" si="117"/>
        <v>10515973</v>
      </c>
      <c r="P282" s="53">
        <f t="shared" si="118"/>
        <v>849367.04999999993</v>
      </c>
      <c r="Q282" s="54"/>
      <c r="R282" s="53">
        <f t="shared" si="113"/>
        <v>849367.04999999993</v>
      </c>
      <c r="S282" s="53">
        <f t="shared" ref="S282:S284" si="120">O282-R282</f>
        <v>9666605.9499999993</v>
      </c>
      <c r="T282" s="59">
        <v>0.05</v>
      </c>
    </row>
    <row r="283" spans="1:20" ht="15.75">
      <c r="A283" s="21">
        <v>5</v>
      </c>
      <c r="B283" s="39" t="s">
        <v>21</v>
      </c>
      <c r="C283" s="40" t="s">
        <v>82</v>
      </c>
      <c r="D283" s="55" t="s">
        <v>29</v>
      </c>
      <c r="E283" s="24">
        <v>4.9800000000000004</v>
      </c>
      <c r="F283" s="47">
        <v>0.2</v>
      </c>
      <c r="G283" s="57">
        <f>E283*6%</f>
        <v>0.29880000000000001</v>
      </c>
      <c r="H283" s="10"/>
      <c r="I283" s="48"/>
      <c r="J283" s="49">
        <f>30/100*(E283+F283+G283)</f>
        <v>1.6436400000000002</v>
      </c>
      <c r="K283" s="50">
        <f t="shared" si="115"/>
        <v>7.122440000000001</v>
      </c>
      <c r="L283" s="51">
        <f t="shared" si="116"/>
        <v>10612435.600000001</v>
      </c>
      <c r="M283" s="58"/>
      <c r="N283" s="58"/>
      <c r="O283" s="51">
        <f t="shared" si="117"/>
        <v>10612435.600000001</v>
      </c>
      <c r="P283" s="53">
        <f t="shared" si="118"/>
        <v>857158.26</v>
      </c>
      <c r="Q283" s="54"/>
      <c r="R283" s="53">
        <f t="shared" si="113"/>
        <v>857158.26</v>
      </c>
      <c r="S283" s="53">
        <f t="shared" si="120"/>
        <v>9755277.3400000017</v>
      </c>
      <c r="T283" s="59">
        <v>0.06</v>
      </c>
    </row>
    <row r="284" spans="1:20" ht="15.75">
      <c r="A284" s="21">
        <v>6</v>
      </c>
      <c r="B284" s="39" t="s">
        <v>21</v>
      </c>
      <c r="C284" s="40" t="s">
        <v>84</v>
      </c>
      <c r="D284" s="55" t="s">
        <v>62</v>
      </c>
      <c r="E284" s="24">
        <v>4.6500000000000004</v>
      </c>
      <c r="F284" s="47">
        <v>0.25</v>
      </c>
      <c r="G284" s="14"/>
      <c r="H284" s="10"/>
      <c r="I284" s="48"/>
      <c r="J284" s="49">
        <f t="shared" ref="J284" si="121">30/100*(E284+F284+G284)</f>
        <v>1.47</v>
      </c>
      <c r="K284" s="50">
        <f t="shared" si="115"/>
        <v>6.37</v>
      </c>
      <c r="L284" s="51">
        <f t="shared" si="116"/>
        <v>9491300</v>
      </c>
      <c r="M284" s="58"/>
      <c r="N284" s="58"/>
      <c r="O284" s="51">
        <f t="shared" si="117"/>
        <v>9491300</v>
      </c>
      <c r="P284" s="53">
        <f t="shared" si="118"/>
        <v>766605.00000000012</v>
      </c>
      <c r="Q284" s="54"/>
      <c r="R284" s="53">
        <f t="shared" si="113"/>
        <v>766605.00000000012</v>
      </c>
      <c r="S284" s="53">
        <f t="shared" si="120"/>
        <v>8724695</v>
      </c>
      <c r="T284" s="41"/>
    </row>
    <row r="285" spans="1:20" ht="15.75">
      <c r="A285" s="21">
        <v>7</v>
      </c>
      <c r="B285" s="39" t="s">
        <v>22</v>
      </c>
      <c r="C285" s="42" t="s">
        <v>31</v>
      </c>
      <c r="D285" s="55" t="s">
        <v>27</v>
      </c>
      <c r="E285" s="24">
        <v>4.8899999999999997</v>
      </c>
      <c r="F285" s="47"/>
      <c r="G285" s="57"/>
      <c r="H285" s="10"/>
      <c r="I285" s="48"/>
      <c r="J285" s="49">
        <f>30/100*(E285+F285+G285)</f>
        <v>1.4669999999999999</v>
      </c>
      <c r="K285" s="50">
        <f t="shared" si="115"/>
        <v>6.3569999999999993</v>
      </c>
      <c r="L285" s="51">
        <f t="shared" si="116"/>
        <v>9471929.9999999981</v>
      </c>
      <c r="M285" s="58"/>
      <c r="N285" s="58"/>
      <c r="O285" s="51">
        <f t="shared" si="117"/>
        <v>9471929.9999999981</v>
      </c>
      <c r="P285" s="53">
        <f t="shared" si="118"/>
        <v>765040.49999999988</v>
      </c>
      <c r="Q285" s="54"/>
      <c r="R285" s="53">
        <f t="shared" si="113"/>
        <v>765040.49999999988</v>
      </c>
      <c r="S285" s="53">
        <f>O285-R285</f>
        <v>8706889.4999999981</v>
      </c>
      <c r="T285" s="41"/>
    </row>
    <row r="286" spans="1:20" ht="15.75">
      <c r="A286" s="21">
        <v>8</v>
      </c>
      <c r="B286" s="39" t="s">
        <v>21</v>
      </c>
      <c r="C286" s="26" t="s">
        <v>70</v>
      </c>
      <c r="D286" s="55" t="s">
        <v>27</v>
      </c>
      <c r="E286" s="24">
        <v>4.6500000000000004</v>
      </c>
      <c r="F286" s="47"/>
      <c r="G286" s="14"/>
      <c r="H286" s="10"/>
      <c r="I286" s="48"/>
      <c r="J286" s="49">
        <f t="shared" ref="J286:J288" si="122">30/100*(E286+F286+G286)</f>
        <v>1.395</v>
      </c>
      <c r="K286" s="50">
        <f t="shared" si="115"/>
        <v>6.0449999999999999</v>
      </c>
      <c r="L286" s="51">
        <f t="shared" si="116"/>
        <v>9007050</v>
      </c>
      <c r="M286" s="58"/>
      <c r="N286" s="58"/>
      <c r="O286" s="51">
        <f t="shared" si="117"/>
        <v>9007050</v>
      </c>
      <c r="P286" s="53">
        <f t="shared" si="118"/>
        <v>727492.50000000012</v>
      </c>
      <c r="Q286" s="54"/>
      <c r="R286" s="53">
        <f t="shared" si="113"/>
        <v>727492.50000000012</v>
      </c>
      <c r="S286" s="53">
        <f t="shared" ref="S286:S289" si="123">O286-R286</f>
        <v>8279557.5</v>
      </c>
      <c r="T286" s="41"/>
    </row>
    <row r="287" spans="1:20" ht="15.75">
      <c r="A287" s="21">
        <v>9</v>
      </c>
      <c r="B287" s="39" t="s">
        <v>21</v>
      </c>
      <c r="C287" s="26" t="s">
        <v>33</v>
      </c>
      <c r="D287" s="55" t="s">
        <v>29</v>
      </c>
      <c r="E287" s="24">
        <v>4.6500000000000004</v>
      </c>
      <c r="F287" s="47">
        <v>0.2</v>
      </c>
      <c r="G287" s="14"/>
      <c r="H287" s="10"/>
      <c r="I287" s="48"/>
      <c r="J287" s="49">
        <f t="shared" si="122"/>
        <v>1.4550000000000001</v>
      </c>
      <c r="K287" s="50">
        <f t="shared" si="115"/>
        <v>6.3050000000000006</v>
      </c>
      <c r="L287" s="51">
        <f t="shared" si="116"/>
        <v>9394450</v>
      </c>
      <c r="M287" s="58"/>
      <c r="N287" s="58"/>
      <c r="O287" s="51">
        <f t="shared" si="117"/>
        <v>9394450</v>
      </c>
      <c r="P287" s="53">
        <f t="shared" si="118"/>
        <v>758782.50000000012</v>
      </c>
      <c r="Q287" s="54"/>
      <c r="R287" s="53">
        <f t="shared" si="113"/>
        <v>758782.50000000012</v>
      </c>
      <c r="S287" s="53">
        <f t="shared" si="123"/>
        <v>8635667.5</v>
      </c>
      <c r="T287" s="41"/>
    </row>
    <row r="288" spans="1:20" ht="15.75">
      <c r="A288" s="21">
        <v>10</v>
      </c>
      <c r="B288" s="39" t="s">
        <v>21</v>
      </c>
      <c r="C288" s="26" t="s">
        <v>34</v>
      </c>
      <c r="D288" s="55" t="s">
        <v>27</v>
      </c>
      <c r="E288" s="24">
        <v>4.32</v>
      </c>
      <c r="F288" s="47"/>
      <c r="G288" s="14"/>
      <c r="H288" s="10"/>
      <c r="I288" s="48"/>
      <c r="J288" s="49">
        <f t="shared" si="122"/>
        <v>1.296</v>
      </c>
      <c r="K288" s="50">
        <f t="shared" si="115"/>
        <v>5.6160000000000005</v>
      </c>
      <c r="L288" s="51">
        <f t="shared" si="116"/>
        <v>8367840.0000000009</v>
      </c>
      <c r="M288" s="58"/>
      <c r="N288" s="58"/>
      <c r="O288" s="51">
        <f t="shared" si="117"/>
        <v>8367840.0000000009</v>
      </c>
      <c r="P288" s="53">
        <f t="shared" si="118"/>
        <v>675864</v>
      </c>
      <c r="Q288" s="54"/>
      <c r="R288" s="53">
        <f t="shared" si="113"/>
        <v>675864</v>
      </c>
      <c r="S288" s="53">
        <f t="shared" si="123"/>
        <v>7691976.0000000009</v>
      </c>
      <c r="T288" s="41"/>
    </row>
    <row r="289" spans="1:20">
      <c r="A289" s="21">
        <v>11</v>
      </c>
      <c r="B289" s="39" t="s">
        <v>21</v>
      </c>
      <c r="C289" s="42" t="s">
        <v>36</v>
      </c>
      <c r="D289" s="55" t="s">
        <v>29</v>
      </c>
      <c r="E289" s="24">
        <v>4.32</v>
      </c>
      <c r="F289" s="47">
        <v>0.2</v>
      </c>
      <c r="G289" s="33"/>
      <c r="H289" s="35"/>
      <c r="I289" s="48"/>
      <c r="J289" s="49">
        <f>30/100*(E289+F289+G289)</f>
        <v>1.3560000000000001</v>
      </c>
      <c r="K289" s="50">
        <f t="shared" si="115"/>
        <v>5.8760000000000003</v>
      </c>
      <c r="L289" s="51">
        <f t="shared" si="116"/>
        <v>8755240</v>
      </c>
      <c r="M289" s="58"/>
      <c r="N289" s="58"/>
      <c r="O289" s="51">
        <f t="shared" si="117"/>
        <v>8755240</v>
      </c>
      <c r="P289" s="53">
        <f>((E289+F289+G289+I289)*1490000-M289)*10.5%</f>
        <v>707154.00000000012</v>
      </c>
      <c r="Q289" s="54"/>
      <c r="R289" s="53">
        <f t="shared" si="113"/>
        <v>707154.00000000012</v>
      </c>
      <c r="S289" s="53">
        <f t="shared" si="123"/>
        <v>8048086</v>
      </c>
      <c r="T289" s="2"/>
    </row>
    <row r="290" spans="1:20">
      <c r="A290" s="21">
        <v>12</v>
      </c>
      <c r="B290" s="39" t="s">
        <v>64</v>
      </c>
      <c r="C290" s="26" t="s">
        <v>59</v>
      </c>
      <c r="D290" s="55" t="s">
        <v>35</v>
      </c>
      <c r="E290" s="24">
        <v>4.2699999999999996</v>
      </c>
      <c r="F290" s="47">
        <v>0.2</v>
      </c>
      <c r="G290" s="33"/>
      <c r="H290" s="34">
        <v>0.1</v>
      </c>
      <c r="I290" s="48"/>
      <c r="J290" s="49"/>
      <c r="K290" s="50">
        <f t="shared" si="115"/>
        <v>4.5699999999999994</v>
      </c>
      <c r="L290" s="51">
        <f t="shared" si="116"/>
        <v>6809299.9999999991</v>
      </c>
      <c r="M290" s="58"/>
      <c r="N290" s="58"/>
      <c r="O290" s="51">
        <f t="shared" si="117"/>
        <v>6809299.9999999991</v>
      </c>
      <c r="P290" s="53">
        <f>((E290+F290+G290+I290)*1490000-M290)*10.5%</f>
        <v>699331.5</v>
      </c>
      <c r="Q290" s="54"/>
      <c r="R290" s="53">
        <f t="shared" si="113"/>
        <v>699331.5</v>
      </c>
      <c r="S290" s="53">
        <f>O290-R290</f>
        <v>6109968.4999999991</v>
      </c>
      <c r="T290" s="2"/>
    </row>
    <row r="291" spans="1:20">
      <c r="A291" s="21">
        <v>13</v>
      </c>
      <c r="B291" s="39" t="s">
        <v>21</v>
      </c>
      <c r="C291" s="40" t="s">
        <v>69</v>
      </c>
      <c r="D291" s="55" t="s">
        <v>27</v>
      </c>
      <c r="E291" s="24">
        <v>4.32</v>
      </c>
      <c r="F291" s="47"/>
      <c r="G291" s="33"/>
      <c r="H291" s="35"/>
      <c r="I291" s="48"/>
      <c r="J291" s="49">
        <f>30/100*(E291+F291+G291)</f>
        <v>1.296</v>
      </c>
      <c r="K291" s="50">
        <f t="shared" si="115"/>
        <v>5.6160000000000005</v>
      </c>
      <c r="L291" s="51">
        <f t="shared" si="116"/>
        <v>8367840.0000000009</v>
      </c>
      <c r="M291" s="58"/>
      <c r="N291" s="58"/>
      <c r="O291" s="51">
        <f t="shared" si="117"/>
        <v>8367840.0000000009</v>
      </c>
      <c r="P291" s="53">
        <f t="shared" ref="P291:P309" si="124">((E291+F291+G291+I291)*1490000-M291)*10.5%</f>
        <v>675864</v>
      </c>
      <c r="Q291" s="54"/>
      <c r="R291" s="53">
        <f t="shared" si="113"/>
        <v>675864</v>
      </c>
      <c r="S291" s="53">
        <f t="shared" ref="S291:S298" si="125">O291-R291</f>
        <v>7691976.0000000009</v>
      </c>
      <c r="T291" s="2"/>
    </row>
    <row r="292" spans="1:20">
      <c r="A292" s="21">
        <v>14</v>
      </c>
      <c r="B292" s="39" t="s">
        <v>21</v>
      </c>
      <c r="C292" s="40" t="s">
        <v>37</v>
      </c>
      <c r="D292" s="55" t="s">
        <v>27</v>
      </c>
      <c r="E292" s="24">
        <v>4.32</v>
      </c>
      <c r="F292" s="24"/>
      <c r="G292" s="33"/>
      <c r="H292" s="35"/>
      <c r="I292" s="48"/>
      <c r="J292" s="49">
        <f>30/100*(E292+F292+G292)</f>
        <v>1.296</v>
      </c>
      <c r="K292" s="50">
        <f t="shared" si="115"/>
        <v>5.6160000000000005</v>
      </c>
      <c r="L292" s="51">
        <f t="shared" si="116"/>
        <v>8367840.0000000009</v>
      </c>
      <c r="M292" s="58"/>
      <c r="N292" s="58"/>
      <c r="O292" s="51">
        <f t="shared" si="117"/>
        <v>8367840.0000000009</v>
      </c>
      <c r="P292" s="53">
        <f t="shared" si="124"/>
        <v>675864</v>
      </c>
      <c r="Q292" s="54"/>
      <c r="R292" s="53">
        <f t="shared" si="113"/>
        <v>675864</v>
      </c>
      <c r="S292" s="53">
        <f t="shared" si="125"/>
        <v>7691976.0000000009</v>
      </c>
      <c r="T292" s="2"/>
    </row>
    <row r="293" spans="1:20">
      <c r="A293" s="21">
        <v>15</v>
      </c>
      <c r="B293" s="39" t="s">
        <v>21</v>
      </c>
      <c r="C293" s="40" t="s">
        <v>71</v>
      </c>
      <c r="D293" s="55" t="s">
        <v>27</v>
      </c>
      <c r="E293" s="24">
        <v>4.32</v>
      </c>
      <c r="F293" s="24"/>
      <c r="G293" s="33"/>
      <c r="H293" s="35"/>
      <c r="I293" s="48"/>
      <c r="J293" s="49">
        <f t="shared" ref="J293:J295" si="126">30/100*(E293+F293+G293)</f>
        <v>1.296</v>
      </c>
      <c r="K293" s="50">
        <f t="shared" si="115"/>
        <v>5.6160000000000005</v>
      </c>
      <c r="L293" s="51">
        <f t="shared" si="116"/>
        <v>8367840.0000000009</v>
      </c>
      <c r="M293" s="58"/>
      <c r="N293" s="58"/>
      <c r="O293" s="51">
        <f t="shared" si="117"/>
        <v>8367840.0000000009</v>
      </c>
      <c r="P293" s="53">
        <f t="shared" si="124"/>
        <v>675864</v>
      </c>
      <c r="Q293" s="54"/>
      <c r="R293" s="53">
        <f t="shared" si="113"/>
        <v>675864</v>
      </c>
      <c r="S293" s="53">
        <f t="shared" si="125"/>
        <v>7691976.0000000009</v>
      </c>
      <c r="T293" s="41"/>
    </row>
    <row r="294" spans="1:20">
      <c r="A294" s="21">
        <v>16</v>
      </c>
      <c r="B294" s="39" t="s">
        <v>21</v>
      </c>
      <c r="C294" s="40" t="s">
        <v>38</v>
      </c>
      <c r="D294" s="55" t="s">
        <v>27</v>
      </c>
      <c r="E294" s="24">
        <v>4.32</v>
      </c>
      <c r="F294" s="24"/>
      <c r="G294" s="33"/>
      <c r="H294" s="35"/>
      <c r="I294" s="48"/>
      <c r="J294" s="49">
        <f t="shared" si="126"/>
        <v>1.296</v>
      </c>
      <c r="K294" s="50">
        <f t="shared" si="115"/>
        <v>5.6160000000000005</v>
      </c>
      <c r="L294" s="51">
        <f t="shared" si="116"/>
        <v>8367840.0000000009</v>
      </c>
      <c r="M294" s="58"/>
      <c r="N294" s="58"/>
      <c r="O294" s="51">
        <f t="shared" si="117"/>
        <v>8367840.0000000009</v>
      </c>
      <c r="P294" s="53">
        <f t="shared" si="124"/>
        <v>675864</v>
      </c>
      <c r="Q294" s="54"/>
      <c r="R294" s="53">
        <f t="shared" si="113"/>
        <v>675864</v>
      </c>
      <c r="S294" s="53">
        <f t="shared" si="125"/>
        <v>7691976.0000000009</v>
      </c>
      <c r="T294" s="41"/>
    </row>
    <row r="295" spans="1:20">
      <c r="A295" s="21">
        <v>17</v>
      </c>
      <c r="B295" s="39" t="s">
        <v>21</v>
      </c>
      <c r="C295" s="40" t="s">
        <v>72</v>
      </c>
      <c r="D295" s="55" t="s">
        <v>27</v>
      </c>
      <c r="E295" s="24">
        <v>4.32</v>
      </c>
      <c r="F295" s="24"/>
      <c r="G295" s="33"/>
      <c r="H295" s="35"/>
      <c r="I295" s="48"/>
      <c r="J295" s="49">
        <f t="shared" si="126"/>
        <v>1.296</v>
      </c>
      <c r="K295" s="50">
        <f t="shared" si="115"/>
        <v>5.6160000000000005</v>
      </c>
      <c r="L295" s="51">
        <f t="shared" si="116"/>
        <v>8367840.0000000009</v>
      </c>
      <c r="M295" s="58"/>
      <c r="N295" s="58"/>
      <c r="O295" s="51">
        <f t="shared" si="117"/>
        <v>8367840.0000000009</v>
      </c>
      <c r="P295" s="53">
        <f t="shared" si="124"/>
        <v>675864</v>
      </c>
      <c r="Q295" s="54"/>
      <c r="R295" s="53">
        <f t="shared" si="113"/>
        <v>675864</v>
      </c>
      <c r="S295" s="53">
        <f t="shared" si="125"/>
        <v>7691976.0000000009</v>
      </c>
      <c r="T295" s="41"/>
    </row>
    <row r="296" spans="1:20">
      <c r="A296" s="21">
        <v>18</v>
      </c>
      <c r="B296" s="39" t="s">
        <v>21</v>
      </c>
      <c r="C296" s="40" t="s">
        <v>91</v>
      </c>
      <c r="D296" s="55" t="s">
        <v>27</v>
      </c>
      <c r="E296" s="24">
        <v>4.32</v>
      </c>
      <c r="F296" s="24">
        <v>0.15</v>
      </c>
      <c r="G296" s="60"/>
      <c r="H296" s="35"/>
      <c r="I296" s="48"/>
      <c r="J296" s="49">
        <f>30/100*(E296+F296+G296)</f>
        <v>1.3410000000000002</v>
      </c>
      <c r="K296" s="61">
        <f t="shared" si="115"/>
        <v>5.8110000000000008</v>
      </c>
      <c r="L296" s="62">
        <f t="shared" si="116"/>
        <v>8658390.0000000019</v>
      </c>
      <c r="M296" s="63"/>
      <c r="N296" s="63"/>
      <c r="O296" s="62">
        <f t="shared" si="117"/>
        <v>8658390.0000000019</v>
      </c>
      <c r="P296" s="64">
        <f t="shared" si="124"/>
        <v>699331.50000000012</v>
      </c>
      <c r="Q296" s="54"/>
      <c r="R296" s="64">
        <f t="shared" si="113"/>
        <v>699331.50000000012</v>
      </c>
      <c r="S296" s="64">
        <f t="shared" si="125"/>
        <v>7959058.5000000019</v>
      </c>
      <c r="T296" s="41"/>
    </row>
    <row r="297" spans="1:20">
      <c r="A297" s="21">
        <v>19</v>
      </c>
      <c r="B297" s="39" t="s">
        <v>21</v>
      </c>
      <c r="C297" s="40" t="s">
        <v>39</v>
      </c>
      <c r="D297" s="55" t="s">
        <v>27</v>
      </c>
      <c r="E297" s="24">
        <v>4.32</v>
      </c>
      <c r="F297" s="24"/>
      <c r="G297" s="33"/>
      <c r="H297" s="36"/>
      <c r="I297" s="48"/>
      <c r="J297" s="49">
        <f>30/100*(E297+F297+G297)</f>
        <v>1.296</v>
      </c>
      <c r="K297" s="50">
        <f t="shared" si="115"/>
        <v>5.6160000000000005</v>
      </c>
      <c r="L297" s="51">
        <f t="shared" si="116"/>
        <v>8367840.0000000009</v>
      </c>
      <c r="M297" s="58"/>
      <c r="N297" s="58"/>
      <c r="O297" s="51">
        <f t="shared" si="117"/>
        <v>8367840.0000000009</v>
      </c>
      <c r="P297" s="53">
        <f t="shared" si="124"/>
        <v>675864</v>
      </c>
      <c r="Q297" s="54"/>
      <c r="R297" s="53">
        <f t="shared" si="113"/>
        <v>675864</v>
      </c>
      <c r="S297" s="53">
        <f t="shared" si="125"/>
        <v>7691976.0000000009</v>
      </c>
      <c r="T297" s="41"/>
    </row>
    <row r="298" spans="1:20">
      <c r="A298" s="21">
        <v>20</v>
      </c>
      <c r="B298" s="39" t="s">
        <v>22</v>
      </c>
      <c r="C298" s="40" t="s">
        <v>40</v>
      </c>
      <c r="D298" s="55" t="s">
        <v>90</v>
      </c>
      <c r="E298" s="24">
        <v>3.96</v>
      </c>
      <c r="F298" s="24">
        <v>0.15</v>
      </c>
      <c r="G298" s="33"/>
      <c r="H298" s="36"/>
      <c r="I298" s="48"/>
      <c r="J298" s="49">
        <f t="shared" ref="J298" si="127">30/100*(E298+F298+G298)</f>
        <v>1.2330000000000001</v>
      </c>
      <c r="K298" s="50">
        <f t="shared" si="115"/>
        <v>5.343</v>
      </c>
      <c r="L298" s="51">
        <f t="shared" si="116"/>
        <v>7961070</v>
      </c>
      <c r="M298" s="58"/>
      <c r="N298" s="58"/>
      <c r="O298" s="51">
        <f t="shared" si="117"/>
        <v>7961070</v>
      </c>
      <c r="P298" s="53">
        <f t="shared" si="124"/>
        <v>643009.50000000012</v>
      </c>
      <c r="Q298" s="54"/>
      <c r="R298" s="53">
        <f t="shared" si="113"/>
        <v>643009.50000000012</v>
      </c>
      <c r="S298" s="53">
        <f t="shared" si="125"/>
        <v>7318060.5</v>
      </c>
      <c r="T298" s="41"/>
    </row>
    <row r="299" spans="1:20" ht="15.75">
      <c r="A299" s="21">
        <v>21</v>
      </c>
      <c r="B299" s="39" t="s">
        <v>21</v>
      </c>
      <c r="C299" s="40" t="s">
        <v>73</v>
      </c>
      <c r="D299" s="55" t="s">
        <v>27</v>
      </c>
      <c r="E299" s="24">
        <v>3.99</v>
      </c>
      <c r="F299" s="24"/>
      <c r="G299" s="14"/>
      <c r="H299" s="10"/>
      <c r="I299" s="48"/>
      <c r="J299" s="49">
        <f>30/100*(E299+F299+G299)</f>
        <v>1.1970000000000001</v>
      </c>
      <c r="K299" s="50">
        <f t="shared" si="115"/>
        <v>5.1870000000000003</v>
      </c>
      <c r="L299" s="51">
        <f t="shared" si="116"/>
        <v>7728630</v>
      </c>
      <c r="M299" s="65"/>
      <c r="N299" s="65"/>
      <c r="O299" s="51">
        <f>L299-M299+N299</f>
        <v>7728630</v>
      </c>
      <c r="P299" s="53">
        <f t="shared" si="124"/>
        <v>624235.5</v>
      </c>
      <c r="Q299" s="54"/>
      <c r="R299" s="53">
        <f t="shared" si="113"/>
        <v>624235.5</v>
      </c>
      <c r="S299" s="53">
        <f>O299-R299-N299</f>
        <v>7104394.5</v>
      </c>
      <c r="T299" s="41"/>
    </row>
    <row r="300" spans="1:20" ht="15.75">
      <c r="A300" s="21">
        <v>22</v>
      </c>
      <c r="B300" s="39" t="s">
        <v>21</v>
      </c>
      <c r="C300" s="40" t="s">
        <v>41</v>
      </c>
      <c r="D300" s="55" t="s">
        <v>27</v>
      </c>
      <c r="E300" s="24">
        <v>3.99</v>
      </c>
      <c r="F300" s="56"/>
      <c r="G300" s="14"/>
      <c r="H300" s="10"/>
      <c r="I300" s="48"/>
      <c r="J300" s="49">
        <f t="shared" ref="J300:J305" si="128">30/100*(E300+F300+G300)</f>
        <v>1.1970000000000001</v>
      </c>
      <c r="K300" s="50">
        <f t="shared" si="115"/>
        <v>5.1870000000000003</v>
      </c>
      <c r="L300" s="51">
        <f t="shared" si="116"/>
        <v>7728630</v>
      </c>
      <c r="M300" s="58"/>
      <c r="N300" s="58"/>
      <c r="O300" s="51">
        <f t="shared" ref="O300:O305" si="129">L300-M300+N300</f>
        <v>7728630</v>
      </c>
      <c r="P300" s="53">
        <f t="shared" si="124"/>
        <v>624235.5</v>
      </c>
      <c r="Q300" s="54"/>
      <c r="R300" s="53">
        <f t="shared" si="113"/>
        <v>624235.5</v>
      </c>
      <c r="S300" s="53">
        <f t="shared" ref="S300:S303" si="130">O300-R300</f>
        <v>7104394.5</v>
      </c>
      <c r="T300" s="41"/>
    </row>
    <row r="301" spans="1:20">
      <c r="A301" s="21">
        <v>23</v>
      </c>
      <c r="B301" s="39" t="s">
        <v>21</v>
      </c>
      <c r="C301" s="40" t="s">
        <v>42</v>
      </c>
      <c r="D301" s="55" t="s">
        <v>27</v>
      </c>
      <c r="E301" s="24">
        <v>3.99</v>
      </c>
      <c r="F301" s="56"/>
      <c r="G301" s="14"/>
      <c r="H301" s="24">
        <v>0.1</v>
      </c>
      <c r="I301" s="48"/>
      <c r="J301" s="49">
        <f t="shared" si="128"/>
        <v>1.1970000000000001</v>
      </c>
      <c r="K301" s="50">
        <f t="shared" si="115"/>
        <v>5.2869999999999999</v>
      </c>
      <c r="L301" s="51">
        <f t="shared" si="116"/>
        <v>7877630</v>
      </c>
      <c r="M301" s="58"/>
      <c r="N301" s="58"/>
      <c r="O301" s="51">
        <f t="shared" si="129"/>
        <v>7877630</v>
      </c>
      <c r="P301" s="53">
        <f t="shared" si="124"/>
        <v>624235.5</v>
      </c>
      <c r="Q301" s="54"/>
      <c r="R301" s="53">
        <f t="shared" si="113"/>
        <v>624235.5</v>
      </c>
      <c r="S301" s="53">
        <f t="shared" si="130"/>
        <v>7253394.5</v>
      </c>
      <c r="T301" s="41"/>
    </row>
    <row r="302" spans="1:20" ht="15.75">
      <c r="A302" s="21">
        <v>24</v>
      </c>
      <c r="B302" s="39" t="s">
        <v>21</v>
      </c>
      <c r="C302" s="26" t="s">
        <v>74</v>
      </c>
      <c r="D302" s="55" t="s">
        <v>27</v>
      </c>
      <c r="E302" s="24">
        <v>3.99</v>
      </c>
      <c r="F302" s="56"/>
      <c r="G302" s="14"/>
      <c r="H302" s="10"/>
      <c r="I302" s="66"/>
      <c r="J302" s="67">
        <f t="shared" si="128"/>
        <v>1.1970000000000001</v>
      </c>
      <c r="K302" s="68">
        <f t="shared" si="115"/>
        <v>5.1870000000000003</v>
      </c>
      <c r="L302" s="69">
        <f t="shared" si="116"/>
        <v>7728630</v>
      </c>
      <c r="M302" s="70"/>
      <c r="N302" s="70"/>
      <c r="O302" s="69">
        <f t="shared" si="129"/>
        <v>7728630</v>
      </c>
      <c r="P302" s="71">
        <f t="shared" si="124"/>
        <v>624235.5</v>
      </c>
      <c r="Q302" s="54"/>
      <c r="R302" s="71">
        <f t="shared" si="113"/>
        <v>624235.5</v>
      </c>
      <c r="S302" s="71">
        <f t="shared" si="130"/>
        <v>7104394.5</v>
      </c>
      <c r="T302" s="41"/>
    </row>
    <row r="303" spans="1:20" ht="15.75">
      <c r="A303" s="21">
        <v>25</v>
      </c>
      <c r="B303" s="72" t="s">
        <v>21</v>
      </c>
      <c r="C303" s="26" t="s">
        <v>43</v>
      </c>
      <c r="D303" s="55" t="s">
        <v>27</v>
      </c>
      <c r="E303" s="24">
        <v>3.99</v>
      </c>
      <c r="F303" s="56"/>
      <c r="G303" s="14"/>
      <c r="H303" s="10"/>
      <c r="I303" s="66"/>
      <c r="J303" s="67">
        <f t="shared" si="128"/>
        <v>1.1970000000000001</v>
      </c>
      <c r="K303" s="68">
        <f t="shared" si="115"/>
        <v>5.1870000000000003</v>
      </c>
      <c r="L303" s="69">
        <f t="shared" si="116"/>
        <v>7728630</v>
      </c>
      <c r="M303" s="70"/>
      <c r="N303" s="70"/>
      <c r="O303" s="69">
        <f t="shared" si="129"/>
        <v>7728630</v>
      </c>
      <c r="P303" s="71">
        <f t="shared" si="124"/>
        <v>624235.5</v>
      </c>
      <c r="Q303" s="54"/>
      <c r="R303" s="71">
        <f t="shared" si="113"/>
        <v>624235.5</v>
      </c>
      <c r="S303" s="71">
        <f t="shared" si="130"/>
        <v>7104394.5</v>
      </c>
      <c r="T303" s="41"/>
    </row>
    <row r="304" spans="1:20" ht="15.75">
      <c r="A304" s="21">
        <v>26</v>
      </c>
      <c r="B304" s="39" t="s">
        <v>21</v>
      </c>
      <c r="C304" s="26" t="s">
        <v>58</v>
      </c>
      <c r="D304" s="55" t="s">
        <v>27</v>
      </c>
      <c r="E304" s="24">
        <v>3.33</v>
      </c>
      <c r="F304" s="56"/>
      <c r="G304" s="14"/>
      <c r="H304" s="10"/>
      <c r="I304" s="48"/>
      <c r="J304" s="49">
        <f t="shared" si="128"/>
        <v>0.999</v>
      </c>
      <c r="K304" s="50">
        <f t="shared" si="115"/>
        <v>4.3289999999999997</v>
      </c>
      <c r="L304" s="51">
        <f t="shared" si="116"/>
        <v>6450210</v>
      </c>
      <c r="M304" s="58"/>
      <c r="N304" s="58"/>
      <c r="O304" s="51">
        <f t="shared" si="129"/>
        <v>6450210</v>
      </c>
      <c r="P304" s="53">
        <f t="shared" si="124"/>
        <v>520978.5</v>
      </c>
      <c r="Q304" s="54"/>
      <c r="R304" s="53">
        <f t="shared" si="113"/>
        <v>520978.5</v>
      </c>
      <c r="S304" s="53">
        <f>O304-R304</f>
        <v>5929231.5</v>
      </c>
      <c r="T304" s="41"/>
    </row>
    <row r="305" spans="1:20" ht="15.75">
      <c r="A305" s="21">
        <v>27</v>
      </c>
      <c r="B305" s="39" t="s">
        <v>21</v>
      </c>
      <c r="C305" s="40" t="s">
        <v>44</v>
      </c>
      <c r="D305" s="55" t="s">
        <v>27</v>
      </c>
      <c r="E305" s="24">
        <v>3.99</v>
      </c>
      <c r="F305" s="56"/>
      <c r="G305" s="14"/>
      <c r="H305" s="10"/>
      <c r="I305" s="48"/>
      <c r="J305" s="49">
        <f t="shared" si="128"/>
        <v>1.1970000000000001</v>
      </c>
      <c r="K305" s="50">
        <f t="shared" si="115"/>
        <v>5.1870000000000003</v>
      </c>
      <c r="L305" s="51">
        <f t="shared" si="116"/>
        <v>7728630</v>
      </c>
      <c r="M305" s="58"/>
      <c r="N305" s="58"/>
      <c r="O305" s="51">
        <f t="shared" si="129"/>
        <v>7728630</v>
      </c>
      <c r="P305" s="53">
        <f t="shared" si="124"/>
        <v>624235.5</v>
      </c>
      <c r="Q305" s="54"/>
      <c r="R305" s="53">
        <f t="shared" si="113"/>
        <v>624235.5</v>
      </c>
      <c r="S305" s="53">
        <f t="shared" ref="S305:S308" si="131">O305-R305</f>
        <v>7104394.5</v>
      </c>
      <c r="T305" s="41"/>
    </row>
    <row r="306" spans="1:20" ht="15.75">
      <c r="A306" s="21">
        <v>28</v>
      </c>
      <c r="B306" s="39" t="s">
        <v>53</v>
      </c>
      <c r="C306" s="73" t="s">
        <v>75</v>
      </c>
      <c r="D306" s="55" t="s">
        <v>83</v>
      </c>
      <c r="E306" s="74">
        <v>3.46</v>
      </c>
      <c r="F306" s="56">
        <v>0.15</v>
      </c>
      <c r="G306" s="14"/>
      <c r="H306" s="10"/>
      <c r="I306" s="48"/>
      <c r="J306" s="49"/>
      <c r="K306" s="50">
        <f>E306+F306+G306+H306+I306+J306</f>
        <v>3.61</v>
      </c>
      <c r="L306" s="51">
        <f>K306*1490000</f>
        <v>5378900</v>
      </c>
      <c r="M306" s="65"/>
      <c r="N306" s="75"/>
      <c r="O306" s="51">
        <f>L306-M306+N306</f>
        <v>5378900</v>
      </c>
      <c r="P306" s="53">
        <f t="shared" si="124"/>
        <v>564784.5</v>
      </c>
      <c r="Q306" s="54"/>
      <c r="R306" s="53">
        <f t="shared" si="113"/>
        <v>564784.5</v>
      </c>
      <c r="S306" s="53">
        <f t="shared" si="131"/>
        <v>4814115.5</v>
      </c>
      <c r="T306" s="41" t="s">
        <v>236</v>
      </c>
    </row>
    <row r="307" spans="1:20" ht="15.75">
      <c r="A307" s="21">
        <v>29</v>
      </c>
      <c r="B307" s="39" t="s">
        <v>89</v>
      </c>
      <c r="C307" s="42" t="s">
        <v>46</v>
      </c>
      <c r="D307" s="55" t="s">
        <v>27</v>
      </c>
      <c r="E307" s="24">
        <v>4</v>
      </c>
      <c r="F307" s="24"/>
      <c r="G307" s="14"/>
      <c r="H307" s="10"/>
      <c r="I307" s="48"/>
      <c r="J307" s="49">
        <f t="shared" ref="J307:J308" si="132">30/100*(E307+F307+G307)</f>
        <v>1.2</v>
      </c>
      <c r="K307" s="50">
        <f t="shared" si="115"/>
        <v>5.2</v>
      </c>
      <c r="L307" s="51">
        <f t="shared" si="116"/>
        <v>7748000</v>
      </c>
      <c r="M307" s="58"/>
      <c r="N307" s="58"/>
      <c r="O307" s="51">
        <f t="shared" ref="O307:O315" si="133">L307-M307+N307</f>
        <v>7748000</v>
      </c>
      <c r="P307" s="53">
        <f t="shared" si="124"/>
        <v>625800</v>
      </c>
      <c r="Q307" s="54"/>
      <c r="R307" s="53">
        <f t="shared" si="113"/>
        <v>625800</v>
      </c>
      <c r="S307" s="76">
        <f t="shared" si="131"/>
        <v>7122200</v>
      </c>
      <c r="T307" s="41"/>
    </row>
    <row r="308" spans="1:20" ht="15.75">
      <c r="A308" s="21">
        <v>30</v>
      </c>
      <c r="B308" s="39" t="s">
        <v>21</v>
      </c>
      <c r="C308" s="40" t="s">
        <v>47</v>
      </c>
      <c r="D308" s="55" t="s">
        <v>27</v>
      </c>
      <c r="E308" s="24">
        <v>3.99</v>
      </c>
      <c r="F308" s="24"/>
      <c r="G308" s="14"/>
      <c r="H308" s="10"/>
      <c r="I308" s="48"/>
      <c r="J308" s="49">
        <f t="shared" si="132"/>
        <v>1.1970000000000001</v>
      </c>
      <c r="K308" s="50">
        <f t="shared" si="115"/>
        <v>5.1870000000000003</v>
      </c>
      <c r="L308" s="51">
        <f t="shared" si="116"/>
        <v>7728630</v>
      </c>
      <c r="M308" s="53"/>
      <c r="N308" s="58"/>
      <c r="O308" s="51">
        <f t="shared" si="133"/>
        <v>7728630</v>
      </c>
      <c r="P308" s="53">
        <f t="shared" si="124"/>
        <v>624235.5</v>
      </c>
      <c r="Q308" s="54"/>
      <c r="R308" s="53">
        <f t="shared" si="113"/>
        <v>624235.5</v>
      </c>
      <c r="S308" s="76">
        <f t="shared" si="131"/>
        <v>7104394.5</v>
      </c>
      <c r="T308" s="41"/>
    </row>
    <row r="309" spans="1:20" ht="15.75">
      <c r="A309" s="21">
        <v>31</v>
      </c>
      <c r="B309" s="39" t="s">
        <v>21</v>
      </c>
      <c r="C309" s="40" t="s">
        <v>48</v>
      </c>
      <c r="D309" s="55" t="s">
        <v>27</v>
      </c>
      <c r="E309" s="24">
        <v>3.66</v>
      </c>
      <c r="F309" s="24"/>
      <c r="G309" s="14"/>
      <c r="H309" s="10"/>
      <c r="I309" s="48"/>
      <c r="J309" s="49">
        <f>30/100*(E309+F309+G309)</f>
        <v>1.0980000000000001</v>
      </c>
      <c r="K309" s="50">
        <f t="shared" si="115"/>
        <v>4.758</v>
      </c>
      <c r="L309" s="51">
        <f t="shared" si="116"/>
        <v>7089420</v>
      </c>
      <c r="M309" s="53"/>
      <c r="N309" s="58"/>
      <c r="O309" s="51">
        <f t="shared" si="133"/>
        <v>7089420</v>
      </c>
      <c r="P309" s="53">
        <f t="shared" si="124"/>
        <v>572607</v>
      </c>
      <c r="Q309" s="54"/>
      <c r="R309" s="53">
        <f t="shared" si="113"/>
        <v>572607</v>
      </c>
      <c r="S309" s="76">
        <f>O309-R309</f>
        <v>6516813</v>
      </c>
      <c r="T309" s="41"/>
    </row>
    <row r="310" spans="1:20" ht="15.75">
      <c r="A310" s="21">
        <v>32</v>
      </c>
      <c r="B310" s="39" t="s">
        <v>21</v>
      </c>
      <c r="C310" s="40" t="s">
        <v>92</v>
      </c>
      <c r="D310" s="55" t="s">
        <v>27</v>
      </c>
      <c r="E310" s="24">
        <v>3.33</v>
      </c>
      <c r="F310" s="24"/>
      <c r="G310" s="14"/>
      <c r="H310" s="10"/>
      <c r="I310" s="48"/>
      <c r="J310" s="49">
        <f>30/100*(E310+F310+G310)</f>
        <v>0.999</v>
      </c>
      <c r="K310" s="50">
        <f>E310+F310+G310+H310+I310+J310</f>
        <v>4.3289999999999997</v>
      </c>
      <c r="L310" s="51">
        <f t="shared" si="116"/>
        <v>6450210</v>
      </c>
      <c r="M310" s="53"/>
      <c r="N310" s="53"/>
      <c r="O310" s="51">
        <f t="shared" si="133"/>
        <v>6450210</v>
      </c>
      <c r="P310" s="53">
        <f>((E310+F310+G310+I310)*1490000)*10.5%</f>
        <v>520978.5</v>
      </c>
      <c r="Q310" s="54"/>
      <c r="R310" s="53">
        <f t="shared" si="113"/>
        <v>520978.5</v>
      </c>
      <c r="S310" s="76">
        <f t="shared" ref="S310:S311" si="134">O310-R310</f>
        <v>5929231.5</v>
      </c>
      <c r="T310" s="41"/>
    </row>
    <row r="311" spans="1:20" ht="15.75">
      <c r="A311" s="21">
        <v>33</v>
      </c>
      <c r="B311" s="39" t="s">
        <v>21</v>
      </c>
      <c r="C311" s="40" t="s">
        <v>93</v>
      </c>
      <c r="D311" s="55" t="s">
        <v>27</v>
      </c>
      <c r="E311" s="24">
        <v>3.66</v>
      </c>
      <c r="F311" s="24"/>
      <c r="G311" s="14"/>
      <c r="H311" s="10"/>
      <c r="I311" s="48"/>
      <c r="J311" s="49">
        <f>30/100*(E311+F311+G311)</f>
        <v>1.0980000000000001</v>
      </c>
      <c r="K311" s="50">
        <f>E311+F311+G311+H311+I311+J311</f>
        <v>4.758</v>
      </c>
      <c r="L311" s="51">
        <f t="shared" si="116"/>
        <v>7089420</v>
      </c>
      <c r="M311" s="53"/>
      <c r="N311" s="53"/>
      <c r="O311" s="51">
        <f t="shared" si="133"/>
        <v>7089420</v>
      </c>
      <c r="P311" s="53">
        <f>((E311+F311+G311+I311)*1490000)*10.5%</f>
        <v>572607</v>
      </c>
      <c r="Q311" s="54"/>
      <c r="R311" s="53">
        <f t="shared" si="113"/>
        <v>572607</v>
      </c>
      <c r="S311" s="76">
        <f t="shared" si="134"/>
        <v>6516813</v>
      </c>
      <c r="T311" s="41"/>
    </row>
    <row r="312" spans="1:20" ht="15.75">
      <c r="A312" s="21">
        <v>34</v>
      </c>
      <c r="B312" s="39" t="s">
        <v>94</v>
      </c>
      <c r="C312" s="42" t="s">
        <v>95</v>
      </c>
      <c r="D312" s="77" t="s">
        <v>27</v>
      </c>
      <c r="E312" s="24">
        <v>3</v>
      </c>
      <c r="F312" s="24"/>
      <c r="G312" s="14"/>
      <c r="H312" s="11"/>
      <c r="I312" s="48"/>
      <c r="J312" s="49">
        <f>30/100*(E312+F312+G312)</f>
        <v>0.89999999999999991</v>
      </c>
      <c r="K312" s="50">
        <f>E312+F312+G312+H312+I312+J312</f>
        <v>3.9</v>
      </c>
      <c r="L312" s="51">
        <f>K312*1490000</f>
        <v>5811000</v>
      </c>
      <c r="M312" s="65"/>
      <c r="N312" s="65"/>
      <c r="O312" s="51">
        <f t="shared" si="133"/>
        <v>5811000</v>
      </c>
      <c r="P312" s="53">
        <f t="shared" ref="P312:P313" si="135">((E312+F312+G312+I312)*1490000-M312)*10.5%</f>
        <v>469350</v>
      </c>
      <c r="Q312" s="54"/>
      <c r="R312" s="53">
        <f t="shared" si="113"/>
        <v>469350</v>
      </c>
      <c r="S312" s="76">
        <f>O312-R312-N312</f>
        <v>5341650</v>
      </c>
      <c r="T312" s="41"/>
    </row>
    <row r="313" spans="1:20">
      <c r="A313" s="21">
        <v>35</v>
      </c>
      <c r="B313" s="39" t="s">
        <v>23</v>
      </c>
      <c r="C313" s="40" t="s">
        <v>49</v>
      </c>
      <c r="D313" s="55" t="s">
        <v>45</v>
      </c>
      <c r="E313" s="24">
        <v>3.34</v>
      </c>
      <c r="F313" s="24"/>
      <c r="G313" s="14"/>
      <c r="H313" s="24">
        <v>0.2</v>
      </c>
      <c r="I313" s="48"/>
      <c r="J313" s="49"/>
      <c r="K313" s="50">
        <f t="shared" ref="K313" si="136">E313+F313+G313+H313+I313+J313</f>
        <v>3.54</v>
      </c>
      <c r="L313" s="51">
        <f t="shared" ref="L313" si="137">K313*1490000</f>
        <v>5274600</v>
      </c>
      <c r="M313" s="53"/>
      <c r="N313" s="58"/>
      <c r="O313" s="51">
        <f t="shared" si="133"/>
        <v>5274600</v>
      </c>
      <c r="P313" s="53">
        <f t="shared" si="135"/>
        <v>522543</v>
      </c>
      <c r="Q313" s="54"/>
      <c r="R313" s="53">
        <f t="shared" si="113"/>
        <v>522543</v>
      </c>
      <c r="S313" s="76">
        <f>O313-R313</f>
        <v>4752057</v>
      </c>
      <c r="T313" s="41"/>
    </row>
    <row r="314" spans="1:20">
      <c r="A314" s="21">
        <v>36</v>
      </c>
      <c r="B314" s="39" t="s">
        <v>52</v>
      </c>
      <c r="C314" s="40" t="s">
        <v>50</v>
      </c>
      <c r="D314" s="77" t="s">
        <v>45</v>
      </c>
      <c r="E314" s="24">
        <v>2.86</v>
      </c>
      <c r="F314" s="24"/>
      <c r="G314" s="14"/>
      <c r="H314" s="24">
        <v>0.2</v>
      </c>
      <c r="I314" s="48"/>
      <c r="J314" s="49"/>
      <c r="K314" s="50">
        <f>E314+F314+G314+H314+I314+J314</f>
        <v>3.06</v>
      </c>
      <c r="L314" s="51">
        <f>K314*1490000</f>
        <v>4559400</v>
      </c>
      <c r="M314" s="53"/>
      <c r="N314" s="51"/>
      <c r="O314" s="51">
        <f t="shared" si="133"/>
        <v>4559400</v>
      </c>
      <c r="P314" s="53">
        <f>((E314+F314+G314+I314)*1490000)*10.5%</f>
        <v>447447</v>
      </c>
      <c r="Q314" s="53"/>
      <c r="R314" s="53">
        <f t="shared" si="113"/>
        <v>447447</v>
      </c>
      <c r="S314" s="76">
        <f>O314-R314</f>
        <v>4111953</v>
      </c>
      <c r="T314" s="41"/>
    </row>
    <row r="315" spans="1:20" ht="15.75">
      <c r="A315" s="21">
        <v>37</v>
      </c>
      <c r="B315" s="39" t="s">
        <v>54</v>
      </c>
      <c r="C315" s="40" t="s">
        <v>51</v>
      </c>
      <c r="D315" s="77" t="s">
        <v>96</v>
      </c>
      <c r="E315" s="24"/>
      <c r="F315" s="24"/>
      <c r="G315" s="14"/>
      <c r="H315" s="11"/>
      <c r="I315" s="48"/>
      <c r="J315" s="49"/>
      <c r="K315" s="50"/>
      <c r="L315" s="51">
        <v>3920000</v>
      </c>
      <c r="M315" s="53"/>
      <c r="N315" s="58"/>
      <c r="O315" s="51">
        <f t="shared" si="133"/>
        <v>3920000</v>
      </c>
      <c r="P315" s="53">
        <f>O315*10.5%</f>
        <v>411600</v>
      </c>
      <c r="Q315" s="53"/>
      <c r="R315" s="53">
        <f t="shared" si="113"/>
        <v>411600</v>
      </c>
      <c r="S315" s="76">
        <f>O315-R315</f>
        <v>3508400</v>
      </c>
      <c r="T315" s="2"/>
    </row>
    <row r="316" spans="1:20" ht="15.75">
      <c r="A316" s="2"/>
      <c r="B316" s="2"/>
      <c r="C316" s="3" t="s">
        <v>14</v>
      </c>
      <c r="D316" s="5"/>
      <c r="E316" s="27">
        <f t="shared" ref="E316" si="138">SUM(E279:E315)</f>
        <v>149.36999999999995</v>
      </c>
      <c r="F316" s="78">
        <f>SUM(F279:F315)</f>
        <v>2.1999999999999997</v>
      </c>
      <c r="G316" s="27">
        <f>SUM(G279:G315)</f>
        <v>0.84660000000000002</v>
      </c>
      <c r="H316" s="78">
        <f>SUM(H279:H315)</f>
        <v>0.60000000000000009</v>
      </c>
      <c r="I316" s="27">
        <f>SUM(I279:I315)</f>
        <v>0</v>
      </c>
      <c r="J316" s="27">
        <f t="shared" ref="J316" si="139">SUM(J279:J315)</f>
        <v>41.440980000000003</v>
      </c>
      <c r="K316" s="27">
        <f>SUM(K279:K315)</f>
        <v>194.45758000000009</v>
      </c>
      <c r="L316" s="28">
        <f t="shared" ref="L316:O316" si="140">SUM(L279:L315)</f>
        <v>293661794.19999999</v>
      </c>
      <c r="M316" s="75">
        <f t="shared" si="140"/>
        <v>0</v>
      </c>
      <c r="N316" s="75">
        <f t="shared" si="140"/>
        <v>0</v>
      </c>
      <c r="O316" s="28">
        <f t="shared" si="140"/>
        <v>293661794.19999999</v>
      </c>
      <c r="P316" s="28">
        <f>SUM(P279:P315)</f>
        <v>24177164.07</v>
      </c>
      <c r="Q316" s="28">
        <f>SUM(Q279:Q315)</f>
        <v>0</v>
      </c>
      <c r="R316" s="28">
        <f t="shared" ref="R316" si="141">SUM(R279:R315)</f>
        <v>24177164.07</v>
      </c>
      <c r="S316" s="32">
        <f>SUM(S279:S315)</f>
        <v>269484630.13</v>
      </c>
      <c r="T316" s="2"/>
    </row>
    <row r="317" spans="1:20">
      <c r="E317" s="9"/>
      <c r="F317" s="9"/>
      <c r="G317" s="9"/>
      <c r="H317" s="9"/>
      <c r="I317" s="19"/>
      <c r="J317" s="17"/>
    </row>
    <row r="318" spans="1:20">
      <c r="A318" s="1" t="s">
        <v>100</v>
      </c>
      <c r="D318" s="210" t="s">
        <v>247</v>
      </c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</row>
    <row r="319" spans="1:20" ht="15.75">
      <c r="A319" s="6"/>
      <c r="E319" s="9"/>
      <c r="F319" s="9"/>
      <c r="G319" s="9"/>
      <c r="H319" s="9"/>
      <c r="I319" s="19"/>
      <c r="J319" s="17"/>
      <c r="S319" s="15"/>
    </row>
    <row r="320" spans="1:20">
      <c r="A320" s="7"/>
      <c r="B320" s="7"/>
      <c r="C320" s="7"/>
      <c r="D320" s="211"/>
      <c r="E320" s="212"/>
      <c r="F320" s="212"/>
      <c r="G320" s="37"/>
      <c r="H320" s="37"/>
      <c r="I320" s="19"/>
      <c r="J320" s="17"/>
      <c r="N320" s="43"/>
      <c r="O320" s="43"/>
      <c r="P320" s="213" t="s">
        <v>237</v>
      </c>
      <c r="Q320" s="213"/>
      <c r="R320" s="213"/>
      <c r="S320" s="213"/>
    </row>
    <row r="321" spans="1:19">
      <c r="A321" s="214" t="s">
        <v>77</v>
      </c>
      <c r="B321" s="214"/>
      <c r="C321" s="214"/>
      <c r="D321" s="214"/>
      <c r="E321" s="214"/>
      <c r="F321" s="9"/>
      <c r="G321" s="44"/>
      <c r="H321" s="44"/>
      <c r="I321" s="19"/>
      <c r="J321" s="214" t="s">
        <v>79</v>
      </c>
      <c r="K321" s="214"/>
      <c r="L321" s="214"/>
      <c r="M321" s="214"/>
      <c r="P321" s="215" t="s">
        <v>65</v>
      </c>
      <c r="Q321" s="215"/>
      <c r="R321" s="215"/>
      <c r="S321" s="215"/>
    </row>
    <row r="322" spans="1:19">
      <c r="A322" s="216" t="s">
        <v>78</v>
      </c>
      <c r="B322" s="216"/>
      <c r="C322" s="216"/>
      <c r="D322" s="216"/>
      <c r="E322" s="9"/>
      <c r="F322" s="9"/>
      <c r="G322" s="9"/>
      <c r="H322" s="9"/>
      <c r="I322" s="19"/>
      <c r="J322" s="216" t="s">
        <v>80</v>
      </c>
      <c r="K322" s="216"/>
      <c r="L322" s="216"/>
      <c r="P322" s="217" t="s">
        <v>66</v>
      </c>
      <c r="Q322" s="217"/>
      <c r="R322" s="217"/>
      <c r="S322" s="217"/>
    </row>
    <row r="323" spans="1:19">
      <c r="E323" s="9"/>
      <c r="F323" s="9"/>
      <c r="G323" s="9"/>
      <c r="H323" s="9"/>
      <c r="I323" s="19"/>
      <c r="J323" s="17"/>
    </row>
    <row r="324" spans="1:19">
      <c r="C324" s="79"/>
      <c r="E324" s="9"/>
      <c r="F324" s="9"/>
      <c r="G324" s="9"/>
      <c r="H324" s="9"/>
      <c r="I324" s="19"/>
      <c r="J324" s="17"/>
    </row>
    <row r="325" spans="1:19" ht="15.75">
      <c r="C325" s="142"/>
      <c r="E325" s="9"/>
      <c r="F325" s="9"/>
      <c r="G325" s="9"/>
      <c r="H325" s="9"/>
      <c r="I325" s="19"/>
      <c r="J325" s="17"/>
      <c r="L325" s="12"/>
      <c r="P325" s="16"/>
    </row>
    <row r="326" spans="1:19" ht="15.75">
      <c r="C326" s="142"/>
      <c r="E326" s="9"/>
      <c r="F326" s="9"/>
      <c r="G326" s="9"/>
      <c r="H326" s="9"/>
      <c r="I326" s="19"/>
      <c r="J326" s="17"/>
    </row>
    <row r="327" spans="1:19" ht="15.75">
      <c r="B327" s="209"/>
      <c r="C327" s="209"/>
      <c r="D327" s="209"/>
      <c r="E327" s="9"/>
      <c r="F327" s="9"/>
      <c r="G327" s="9"/>
      <c r="H327" s="9"/>
      <c r="I327" s="19"/>
      <c r="J327" s="209" t="s">
        <v>59</v>
      </c>
      <c r="K327" s="209"/>
      <c r="L327" s="209"/>
      <c r="M327" s="209"/>
      <c r="P327" s="209" t="s">
        <v>81</v>
      </c>
      <c r="Q327" s="209"/>
      <c r="R327" s="209"/>
      <c r="S327" s="209"/>
    </row>
    <row r="329" spans="1:19" ht="15.75">
      <c r="C329" s="142"/>
    </row>
    <row r="330" spans="1:19" ht="15.75">
      <c r="C330" s="142"/>
    </row>
    <row r="331" spans="1:19">
      <c r="C331" s="8"/>
    </row>
    <row r="332" spans="1:19">
      <c r="C332" s="8"/>
    </row>
    <row r="333" spans="1:19">
      <c r="C333" s="8"/>
    </row>
    <row r="334" spans="1:19">
      <c r="C334" s="8"/>
    </row>
    <row r="335" spans="1:19">
      <c r="C335" s="8"/>
    </row>
    <row r="336" spans="1:19">
      <c r="C336" s="8"/>
    </row>
    <row r="337" spans="1:20" ht="15.75">
      <c r="A337" s="227" t="s">
        <v>55</v>
      </c>
      <c r="B337" s="227"/>
      <c r="C337" s="227"/>
      <c r="D337" s="227"/>
      <c r="E337" s="227"/>
      <c r="F337" s="227"/>
      <c r="G337" s="227"/>
      <c r="H337" s="227"/>
      <c r="I337" s="19"/>
      <c r="J337" s="17"/>
      <c r="Q337" s="228" t="s">
        <v>235</v>
      </c>
      <c r="R337" s="228"/>
      <c r="S337" s="228"/>
    </row>
    <row r="338" spans="1:20">
      <c r="A338" s="229" t="s">
        <v>67</v>
      </c>
      <c r="B338" s="229"/>
      <c r="C338" s="229"/>
      <c r="D338" s="229"/>
      <c r="E338" s="229"/>
      <c r="F338" s="229"/>
      <c r="G338" s="229"/>
      <c r="H338" s="9"/>
      <c r="I338" s="19"/>
      <c r="J338" s="17"/>
      <c r="R338" s="230" t="s">
        <v>68</v>
      </c>
      <c r="S338" s="230"/>
    </row>
    <row r="339" spans="1:20" ht="15.75">
      <c r="A339" s="227" t="s">
        <v>56</v>
      </c>
      <c r="B339" s="227"/>
      <c r="C339" s="227"/>
      <c r="D339" s="227"/>
      <c r="E339" s="227"/>
      <c r="F339" s="227"/>
      <c r="G339" s="227"/>
      <c r="H339" s="9"/>
      <c r="I339" s="19"/>
      <c r="J339" s="17"/>
      <c r="R339" s="29" t="s">
        <v>63</v>
      </c>
    </row>
    <row r="340" spans="1:20" ht="20.25">
      <c r="A340" s="231" t="s">
        <v>76</v>
      </c>
      <c r="B340" s="231"/>
      <c r="C340" s="231"/>
      <c r="D340" s="231"/>
      <c r="E340" s="231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</row>
    <row r="341" spans="1:20" ht="18.75">
      <c r="A341" s="232" t="s">
        <v>250</v>
      </c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</row>
    <row r="342" spans="1:20">
      <c r="A342" s="225" t="s">
        <v>0</v>
      </c>
      <c r="B342" s="226" t="s">
        <v>1</v>
      </c>
      <c r="C342" s="226" t="s">
        <v>2</v>
      </c>
      <c r="D342" s="226" t="s">
        <v>3</v>
      </c>
      <c r="E342" s="226" t="s">
        <v>20</v>
      </c>
      <c r="F342" s="226"/>
      <c r="G342" s="226"/>
      <c r="H342" s="226"/>
      <c r="I342" s="226"/>
      <c r="J342" s="226"/>
      <c r="K342" s="226"/>
      <c r="L342" s="226"/>
      <c r="M342" s="233" t="s">
        <v>9</v>
      </c>
      <c r="N342" s="233" t="s">
        <v>11</v>
      </c>
      <c r="O342" s="226" t="s">
        <v>12</v>
      </c>
      <c r="P342" s="234" t="s">
        <v>13</v>
      </c>
      <c r="Q342" s="235"/>
      <c r="R342" s="236"/>
      <c r="S342" s="226" t="s">
        <v>15</v>
      </c>
      <c r="T342" s="218" t="s">
        <v>57</v>
      </c>
    </row>
    <row r="343" spans="1:20">
      <c r="A343" s="225"/>
      <c r="B343" s="226"/>
      <c r="C343" s="226"/>
      <c r="D343" s="226"/>
      <c r="E343" s="221" t="s">
        <v>4</v>
      </c>
      <c r="F343" s="222" t="s">
        <v>5</v>
      </c>
      <c r="G343" s="223" t="s">
        <v>6</v>
      </c>
      <c r="H343" s="223"/>
      <c r="I343" s="223"/>
      <c r="J343" s="223"/>
      <c r="K343" s="224" t="s">
        <v>7</v>
      </c>
      <c r="L343" s="224" t="s">
        <v>8</v>
      </c>
      <c r="M343" s="233"/>
      <c r="N343" s="233"/>
      <c r="O343" s="226"/>
      <c r="P343" s="225" t="s">
        <v>10</v>
      </c>
      <c r="Q343" s="226" t="s">
        <v>85</v>
      </c>
      <c r="R343" s="225" t="s">
        <v>14</v>
      </c>
      <c r="S343" s="226"/>
      <c r="T343" s="219"/>
    </row>
    <row r="344" spans="1:20" ht="42">
      <c r="A344" s="225"/>
      <c r="B344" s="226"/>
      <c r="C344" s="226"/>
      <c r="D344" s="226"/>
      <c r="E344" s="221"/>
      <c r="F344" s="222"/>
      <c r="G344" s="155" t="s">
        <v>26</v>
      </c>
      <c r="H344" s="155" t="s">
        <v>86</v>
      </c>
      <c r="I344" s="20" t="s">
        <v>24</v>
      </c>
      <c r="J344" s="18" t="s">
        <v>25</v>
      </c>
      <c r="K344" s="224"/>
      <c r="L344" s="224"/>
      <c r="M344" s="233"/>
      <c r="N344" s="233"/>
      <c r="O344" s="226"/>
      <c r="P344" s="225"/>
      <c r="Q344" s="226"/>
      <c r="R344" s="225"/>
      <c r="S344" s="226"/>
      <c r="T344" s="220"/>
    </row>
    <row r="345" spans="1:20">
      <c r="A345" s="4" t="s">
        <v>16</v>
      </c>
      <c r="B345" s="4" t="s">
        <v>17</v>
      </c>
      <c r="C345" s="4" t="s">
        <v>18</v>
      </c>
      <c r="D345" s="4" t="s">
        <v>19</v>
      </c>
      <c r="E345" s="13">
        <v>1</v>
      </c>
      <c r="F345" s="13">
        <v>2</v>
      </c>
      <c r="G345" s="13">
        <v>3</v>
      </c>
      <c r="H345" s="13">
        <v>4</v>
      </c>
      <c r="I345" s="13">
        <v>5</v>
      </c>
      <c r="J345" s="23">
        <v>6</v>
      </c>
      <c r="K345" s="4">
        <v>7</v>
      </c>
      <c r="L345" s="4">
        <v>8</v>
      </c>
      <c r="M345" s="4">
        <v>9</v>
      </c>
      <c r="N345" s="4">
        <v>10</v>
      </c>
      <c r="O345" s="30" t="s">
        <v>87</v>
      </c>
      <c r="P345" s="30">
        <v>12</v>
      </c>
      <c r="Q345" s="30">
        <v>13</v>
      </c>
      <c r="R345" s="30">
        <v>14</v>
      </c>
      <c r="S345" s="30" t="s">
        <v>88</v>
      </c>
      <c r="T345" s="2"/>
    </row>
    <row r="346" spans="1:20">
      <c r="A346" s="21">
        <v>1</v>
      </c>
      <c r="B346" s="39" t="s">
        <v>89</v>
      </c>
      <c r="C346" s="42" t="s">
        <v>60</v>
      </c>
      <c r="D346" s="46" t="s">
        <v>61</v>
      </c>
      <c r="E346" s="47">
        <v>5.0199999999999996</v>
      </c>
      <c r="F346" s="47">
        <v>0.35</v>
      </c>
      <c r="G346" s="25"/>
      <c r="H346" s="22"/>
      <c r="I346" s="48"/>
      <c r="J346" s="49">
        <f>30/100*(E346+F346+G346)</f>
        <v>1.6109999999999998</v>
      </c>
      <c r="K346" s="50">
        <f>E346+F346+G346+H346+I346+J346</f>
        <v>6.980999999999999</v>
      </c>
      <c r="L346" s="51">
        <f>K346*1490000</f>
        <v>10401689.999999998</v>
      </c>
      <c r="M346" s="52"/>
      <c r="N346" s="52"/>
      <c r="O346" s="51">
        <f>L346-M346+N346</f>
        <v>10401689.999999998</v>
      </c>
      <c r="P346" s="53">
        <f>((E346+F346+G346+I346)*1490000-M346)*9.5%</f>
        <v>760123.49999999988</v>
      </c>
      <c r="Q346" s="54"/>
      <c r="R346" s="53">
        <f>P346+Q346</f>
        <v>760123.49999999988</v>
      </c>
      <c r="S346" s="53">
        <f>O346-R346</f>
        <v>9641566.4999999981</v>
      </c>
      <c r="T346" s="41"/>
    </row>
    <row r="347" spans="1:20" ht="15.75">
      <c r="A347" s="21">
        <v>2</v>
      </c>
      <c r="B347" s="39" t="s">
        <v>21</v>
      </c>
      <c r="C347" s="40" t="s">
        <v>28</v>
      </c>
      <c r="D347" s="55" t="s">
        <v>27</v>
      </c>
      <c r="E347" s="24">
        <v>4.9800000000000004</v>
      </c>
      <c r="F347" s="56"/>
      <c r="G347" s="57">
        <f>E347*7%</f>
        <v>0.34860000000000008</v>
      </c>
      <c r="H347" s="10"/>
      <c r="I347" s="48"/>
      <c r="J347" s="49">
        <f>30/100*(E347+F347+G347)</f>
        <v>1.5985800000000001</v>
      </c>
      <c r="K347" s="50">
        <f>E347+F347+G347+H347+I347+J347</f>
        <v>6.9271800000000008</v>
      </c>
      <c r="L347" s="51">
        <f>K347*1490000</f>
        <v>10321498.200000001</v>
      </c>
      <c r="M347" s="58"/>
      <c r="N347" s="58"/>
      <c r="O347" s="51">
        <f>L347-M347+N347</f>
        <v>10321498.200000001</v>
      </c>
      <c r="P347" s="53">
        <f>((E347+F347+G347+I347)*1490000-M347)*10.5%</f>
        <v>833659.47000000009</v>
      </c>
      <c r="Q347" s="54"/>
      <c r="R347" s="53">
        <f t="shared" ref="R347:R382" si="142">P347+Q347</f>
        <v>833659.47000000009</v>
      </c>
      <c r="S347" s="53">
        <f t="shared" ref="S347" si="143">O347-R347</f>
        <v>9487838.7300000004</v>
      </c>
      <c r="T347" s="59">
        <v>7.0000000000000007E-2</v>
      </c>
    </row>
    <row r="348" spans="1:20" ht="15.75">
      <c r="A348" s="21">
        <v>3</v>
      </c>
      <c r="B348" s="39" t="s">
        <v>22</v>
      </c>
      <c r="C348" s="40" t="s">
        <v>30</v>
      </c>
      <c r="D348" s="55" t="s">
        <v>90</v>
      </c>
      <c r="E348" s="24">
        <v>4.8899999999999997</v>
      </c>
      <c r="F348" s="47">
        <v>0.15</v>
      </c>
      <c r="G348" s="57"/>
      <c r="H348" s="10"/>
      <c r="I348" s="48"/>
      <c r="J348" s="49">
        <f>30/100*(E348+F348+G348)</f>
        <v>1.512</v>
      </c>
      <c r="K348" s="50">
        <f t="shared" ref="K348:K372" si="144">E348+F348+G348+H348+I348+J348</f>
        <v>6.5519999999999996</v>
      </c>
      <c r="L348" s="51">
        <f t="shared" ref="L348:L372" si="145">K348*1490000</f>
        <v>9762480</v>
      </c>
      <c r="M348" s="58"/>
      <c r="N348" s="58"/>
      <c r="O348" s="51">
        <f t="shared" ref="O348:O365" si="146">L348-M348+N348</f>
        <v>9762480</v>
      </c>
      <c r="P348" s="53">
        <f t="shared" ref="P348:P355" si="147">((E348+F348+G348+I348)*1490000-M348)*10.5%</f>
        <v>788508</v>
      </c>
      <c r="Q348" s="54"/>
      <c r="R348" s="53">
        <f t="shared" si="142"/>
        <v>788508</v>
      </c>
      <c r="S348" s="53">
        <f>O348-R348</f>
        <v>8973972</v>
      </c>
      <c r="T348" s="2"/>
    </row>
    <row r="349" spans="1:20" ht="15.75">
      <c r="A349" s="21">
        <v>4</v>
      </c>
      <c r="B349" s="39" t="s">
        <v>21</v>
      </c>
      <c r="C349" s="40" t="s">
        <v>32</v>
      </c>
      <c r="D349" s="55" t="s">
        <v>29</v>
      </c>
      <c r="E349" s="24">
        <v>4.9800000000000004</v>
      </c>
      <c r="F349" s="47">
        <v>0.2</v>
      </c>
      <c r="G349" s="57">
        <f>E349*5%</f>
        <v>0.24900000000000003</v>
      </c>
      <c r="H349" s="10"/>
      <c r="I349" s="48"/>
      <c r="J349" s="49">
        <f t="shared" ref="J349" si="148">30/100*(E349+F349+G349)</f>
        <v>1.6287</v>
      </c>
      <c r="K349" s="50">
        <f t="shared" si="144"/>
        <v>7.0577000000000005</v>
      </c>
      <c r="L349" s="51">
        <f t="shared" si="145"/>
        <v>10515973</v>
      </c>
      <c r="M349" s="58"/>
      <c r="N349" s="58"/>
      <c r="O349" s="51">
        <f t="shared" si="146"/>
        <v>10515973</v>
      </c>
      <c r="P349" s="53">
        <f t="shared" si="147"/>
        <v>849367.04999999993</v>
      </c>
      <c r="Q349" s="54"/>
      <c r="R349" s="53">
        <f t="shared" si="142"/>
        <v>849367.04999999993</v>
      </c>
      <c r="S349" s="53">
        <f t="shared" ref="S349:S351" si="149">O349-R349</f>
        <v>9666605.9499999993</v>
      </c>
      <c r="T349" s="59">
        <v>0.05</v>
      </c>
    </row>
    <row r="350" spans="1:20" ht="15.75">
      <c r="A350" s="21">
        <v>5</v>
      </c>
      <c r="B350" s="39" t="s">
        <v>21</v>
      </c>
      <c r="C350" s="40" t="s">
        <v>82</v>
      </c>
      <c r="D350" s="55" t="s">
        <v>29</v>
      </c>
      <c r="E350" s="24">
        <v>4.9800000000000004</v>
      </c>
      <c r="F350" s="47">
        <v>0.2</v>
      </c>
      <c r="G350" s="57">
        <f>E350*7%</f>
        <v>0.34860000000000008</v>
      </c>
      <c r="H350" s="10"/>
      <c r="I350" s="48"/>
      <c r="J350" s="49">
        <f>30/100*(E350+F350+G350)</f>
        <v>1.6585800000000002</v>
      </c>
      <c r="K350" s="50">
        <f t="shared" si="144"/>
        <v>7.1871800000000015</v>
      </c>
      <c r="L350" s="51">
        <f t="shared" si="145"/>
        <v>10708898.200000003</v>
      </c>
      <c r="M350" s="58"/>
      <c r="N350" s="58"/>
      <c r="O350" s="51">
        <f t="shared" si="146"/>
        <v>10708898.200000003</v>
      </c>
      <c r="P350" s="53">
        <f t="shared" si="147"/>
        <v>864949.47000000009</v>
      </c>
      <c r="Q350" s="54"/>
      <c r="R350" s="53">
        <f t="shared" si="142"/>
        <v>864949.47000000009</v>
      </c>
      <c r="S350" s="53">
        <f>O350-R350</f>
        <v>9843948.7300000023</v>
      </c>
      <c r="T350" s="59">
        <v>7.0000000000000007E-2</v>
      </c>
    </row>
    <row r="351" spans="1:20" ht="15.75">
      <c r="A351" s="21">
        <v>6</v>
      </c>
      <c r="B351" s="39" t="s">
        <v>21</v>
      </c>
      <c r="C351" s="40" t="s">
        <v>84</v>
      </c>
      <c r="D351" s="55" t="s">
        <v>62</v>
      </c>
      <c r="E351" s="24">
        <v>4.9800000000000004</v>
      </c>
      <c r="F351" s="47">
        <v>0.25</v>
      </c>
      <c r="G351" s="14"/>
      <c r="H351" s="10"/>
      <c r="I351" s="48"/>
      <c r="J351" s="49">
        <f t="shared" ref="J351" si="150">30/100*(E351+F351+G351)</f>
        <v>1.5690000000000002</v>
      </c>
      <c r="K351" s="50">
        <f t="shared" si="144"/>
        <v>6.7990000000000004</v>
      </c>
      <c r="L351" s="51">
        <f t="shared" si="145"/>
        <v>10130510</v>
      </c>
      <c r="M351" s="58"/>
      <c r="N351" s="58"/>
      <c r="O351" s="51">
        <f t="shared" si="146"/>
        <v>10130510</v>
      </c>
      <c r="P351" s="53">
        <f t="shared" si="147"/>
        <v>818233.50000000012</v>
      </c>
      <c r="Q351" s="54"/>
      <c r="R351" s="53">
        <f t="shared" si="142"/>
        <v>818233.50000000012</v>
      </c>
      <c r="S351" s="53">
        <f t="shared" si="149"/>
        <v>9312276.5</v>
      </c>
      <c r="T351" s="41"/>
    </row>
    <row r="352" spans="1:20" ht="15.75">
      <c r="A352" s="21">
        <v>7</v>
      </c>
      <c r="B352" s="39" t="s">
        <v>22</v>
      </c>
      <c r="C352" s="42" t="s">
        <v>31</v>
      </c>
      <c r="D352" s="55" t="s">
        <v>27</v>
      </c>
      <c r="E352" s="24">
        <v>4.8899999999999997</v>
      </c>
      <c r="F352" s="47"/>
      <c r="G352" s="57"/>
      <c r="H352" s="10"/>
      <c r="I352" s="48"/>
      <c r="J352" s="49">
        <f>30/100*(E352+F352+G352)</f>
        <v>1.4669999999999999</v>
      </c>
      <c r="K352" s="50">
        <f t="shared" si="144"/>
        <v>6.3569999999999993</v>
      </c>
      <c r="L352" s="51">
        <f t="shared" si="145"/>
        <v>9471929.9999999981</v>
      </c>
      <c r="M352" s="58"/>
      <c r="N352" s="58"/>
      <c r="O352" s="51">
        <f t="shared" si="146"/>
        <v>9471929.9999999981</v>
      </c>
      <c r="P352" s="53">
        <f t="shared" si="147"/>
        <v>765040.49999999988</v>
      </c>
      <c r="Q352" s="54"/>
      <c r="R352" s="53">
        <f t="shared" si="142"/>
        <v>765040.49999999988</v>
      </c>
      <c r="S352" s="53">
        <f>O352-R352</f>
        <v>8706889.4999999981</v>
      </c>
      <c r="T352" s="41"/>
    </row>
    <row r="353" spans="1:20" ht="15.75">
      <c r="A353" s="21">
        <v>8</v>
      </c>
      <c r="B353" s="39" t="s">
        <v>21</v>
      </c>
      <c r="C353" s="26" t="s">
        <v>70</v>
      </c>
      <c r="D353" s="55" t="s">
        <v>27</v>
      </c>
      <c r="E353" s="24">
        <v>4.9800000000000004</v>
      </c>
      <c r="F353" s="47"/>
      <c r="G353" s="14"/>
      <c r="H353" s="10"/>
      <c r="I353" s="48"/>
      <c r="J353" s="49">
        <f t="shared" ref="J353:J355" si="151">30/100*(E353+F353+G353)</f>
        <v>1.494</v>
      </c>
      <c r="K353" s="50">
        <f t="shared" si="144"/>
        <v>6.4740000000000002</v>
      </c>
      <c r="L353" s="51">
        <f t="shared" si="145"/>
        <v>9646260</v>
      </c>
      <c r="M353" s="58"/>
      <c r="N353" s="58"/>
      <c r="O353" s="51">
        <f t="shared" si="146"/>
        <v>9646260</v>
      </c>
      <c r="P353" s="53">
        <f>((E353+F353+G353+I353)*1490000-M353)*10.5%</f>
        <v>779121.00000000012</v>
      </c>
      <c r="Q353" s="54"/>
      <c r="R353" s="53">
        <f t="shared" si="142"/>
        <v>779121.00000000012</v>
      </c>
      <c r="S353" s="53">
        <f>O353-R353</f>
        <v>8867139</v>
      </c>
      <c r="T353" s="150" t="s">
        <v>251</v>
      </c>
    </row>
    <row r="354" spans="1:20" ht="15.75">
      <c r="A354" s="21">
        <v>9</v>
      </c>
      <c r="B354" s="39" t="s">
        <v>21</v>
      </c>
      <c r="C354" s="26" t="s">
        <v>33</v>
      </c>
      <c r="D354" s="55" t="s">
        <v>29</v>
      </c>
      <c r="E354" s="24">
        <v>4.6500000000000004</v>
      </c>
      <c r="F354" s="47">
        <v>0.2</v>
      </c>
      <c r="G354" s="14"/>
      <c r="H354" s="10"/>
      <c r="I354" s="48"/>
      <c r="J354" s="49">
        <f t="shared" si="151"/>
        <v>1.4550000000000001</v>
      </c>
      <c r="K354" s="50">
        <f t="shared" si="144"/>
        <v>6.3050000000000006</v>
      </c>
      <c r="L354" s="51">
        <f t="shared" si="145"/>
        <v>9394450</v>
      </c>
      <c r="M354" s="58"/>
      <c r="N354" s="58"/>
      <c r="O354" s="51">
        <f t="shared" si="146"/>
        <v>9394450</v>
      </c>
      <c r="P354" s="53">
        <f t="shared" si="147"/>
        <v>758782.50000000012</v>
      </c>
      <c r="Q354" s="54"/>
      <c r="R354" s="53">
        <f t="shared" si="142"/>
        <v>758782.50000000012</v>
      </c>
      <c r="S354" s="53">
        <f t="shared" ref="S354:S356" si="152">O354-R354</f>
        <v>8635667.5</v>
      </c>
      <c r="T354" s="150"/>
    </row>
    <row r="355" spans="1:20" ht="15.75">
      <c r="A355" s="21">
        <v>10</v>
      </c>
      <c r="B355" s="39" t="s">
        <v>21</v>
      </c>
      <c r="C355" s="26" t="s">
        <v>34</v>
      </c>
      <c r="D355" s="55" t="s">
        <v>27</v>
      </c>
      <c r="E355" s="24">
        <v>4.32</v>
      </c>
      <c r="F355" s="47"/>
      <c r="G355" s="14"/>
      <c r="H355" s="10"/>
      <c r="I355" s="48"/>
      <c r="J355" s="49">
        <f t="shared" si="151"/>
        <v>1.296</v>
      </c>
      <c r="K355" s="50">
        <f t="shared" si="144"/>
        <v>5.6160000000000005</v>
      </c>
      <c r="L355" s="51">
        <f t="shared" si="145"/>
        <v>8367840.0000000009</v>
      </c>
      <c r="M355" s="58"/>
      <c r="N355" s="58"/>
      <c r="O355" s="51">
        <f t="shared" si="146"/>
        <v>8367840.0000000009</v>
      </c>
      <c r="P355" s="53">
        <f t="shared" si="147"/>
        <v>675864</v>
      </c>
      <c r="Q355" s="54"/>
      <c r="R355" s="53">
        <f t="shared" si="142"/>
        <v>675864</v>
      </c>
      <c r="S355" s="53">
        <f t="shared" si="152"/>
        <v>7691976.0000000009</v>
      </c>
      <c r="T355" s="150"/>
    </row>
    <row r="356" spans="1:20">
      <c r="A356" s="21">
        <v>11</v>
      </c>
      <c r="B356" s="39" t="s">
        <v>21</v>
      </c>
      <c r="C356" s="42" t="s">
        <v>36</v>
      </c>
      <c r="D356" s="55" t="s">
        <v>29</v>
      </c>
      <c r="E356" s="24">
        <v>4.32</v>
      </c>
      <c r="F356" s="47">
        <v>0.2</v>
      </c>
      <c r="G356" s="33"/>
      <c r="H356" s="35"/>
      <c r="I356" s="48"/>
      <c r="J356" s="49">
        <f>30/100*(E356+F356+G356)</f>
        <v>1.3560000000000001</v>
      </c>
      <c r="K356" s="50">
        <f t="shared" si="144"/>
        <v>5.8760000000000003</v>
      </c>
      <c r="L356" s="51">
        <f t="shared" si="145"/>
        <v>8755240</v>
      </c>
      <c r="M356" s="58"/>
      <c r="N356" s="58"/>
      <c r="O356" s="51">
        <f t="shared" si="146"/>
        <v>8755240</v>
      </c>
      <c r="P356" s="53">
        <f>((E356+F356+G356+I356)*1490000-M356)*10.5%</f>
        <v>707154.00000000012</v>
      </c>
      <c r="Q356" s="54"/>
      <c r="R356" s="53">
        <f t="shared" si="142"/>
        <v>707154.00000000012</v>
      </c>
      <c r="S356" s="53">
        <f t="shared" si="152"/>
        <v>8048086</v>
      </c>
      <c r="T356" s="151"/>
    </row>
    <row r="357" spans="1:20">
      <c r="A357" s="21">
        <v>12</v>
      </c>
      <c r="B357" s="39" t="s">
        <v>64</v>
      </c>
      <c r="C357" s="26" t="s">
        <v>59</v>
      </c>
      <c r="D357" s="55" t="s">
        <v>35</v>
      </c>
      <c r="E357" s="24">
        <v>4.2699999999999996</v>
      </c>
      <c r="F357" s="47">
        <v>0.2</v>
      </c>
      <c r="G357" s="33"/>
      <c r="H357" s="34">
        <v>0.1</v>
      </c>
      <c r="I357" s="48"/>
      <c r="J357" s="49"/>
      <c r="K357" s="50">
        <f t="shared" si="144"/>
        <v>4.5699999999999994</v>
      </c>
      <c r="L357" s="51">
        <f t="shared" si="145"/>
        <v>6809299.9999999991</v>
      </c>
      <c r="M357" s="58"/>
      <c r="N357" s="58"/>
      <c r="O357" s="51">
        <f t="shared" si="146"/>
        <v>6809299.9999999991</v>
      </c>
      <c r="P357" s="53">
        <f>((E357+F357+G357+I357)*1490000-M357)*10.5%</f>
        <v>699331.5</v>
      </c>
      <c r="Q357" s="54"/>
      <c r="R357" s="53">
        <f t="shared" si="142"/>
        <v>699331.5</v>
      </c>
      <c r="S357" s="53">
        <f>O357-R357</f>
        <v>6109968.4999999991</v>
      </c>
      <c r="T357" s="151"/>
    </row>
    <row r="358" spans="1:20">
      <c r="A358" s="21">
        <v>13</v>
      </c>
      <c r="B358" s="39" t="s">
        <v>21</v>
      </c>
      <c r="C358" s="40" t="s">
        <v>69</v>
      </c>
      <c r="D358" s="55" t="s">
        <v>27</v>
      </c>
      <c r="E358" s="24">
        <v>4.6500000000000004</v>
      </c>
      <c r="F358" s="47"/>
      <c r="G358" s="33"/>
      <c r="H358" s="35"/>
      <c r="I358" s="48"/>
      <c r="J358" s="49">
        <f>30/100*(E358+F358+G358)</f>
        <v>1.395</v>
      </c>
      <c r="K358" s="50">
        <f t="shared" si="144"/>
        <v>6.0449999999999999</v>
      </c>
      <c r="L358" s="51">
        <f t="shared" si="145"/>
        <v>9007050</v>
      </c>
      <c r="M358" s="58"/>
      <c r="N358" s="58"/>
      <c r="O358" s="51">
        <f t="shared" si="146"/>
        <v>9007050</v>
      </c>
      <c r="P358" s="53">
        <f t="shared" ref="P358:P376" si="153">((E358+F358+G358+I358)*1490000-M358)*10.5%</f>
        <v>727492.50000000012</v>
      </c>
      <c r="Q358" s="54"/>
      <c r="R358" s="53">
        <f t="shared" si="142"/>
        <v>727492.50000000012</v>
      </c>
      <c r="S358" s="53">
        <f t="shared" ref="S358:S365" si="154">O358-R358</f>
        <v>8279557.5</v>
      </c>
      <c r="T358" s="150" t="s">
        <v>251</v>
      </c>
    </row>
    <row r="359" spans="1:20">
      <c r="A359" s="21">
        <v>14</v>
      </c>
      <c r="B359" s="39" t="s">
        <v>21</v>
      </c>
      <c r="C359" s="40" t="s">
        <v>37</v>
      </c>
      <c r="D359" s="55" t="s">
        <v>27</v>
      </c>
      <c r="E359" s="24">
        <v>4.32</v>
      </c>
      <c r="F359" s="24"/>
      <c r="G359" s="33"/>
      <c r="H359" s="35"/>
      <c r="I359" s="48"/>
      <c r="J359" s="49">
        <f>30/100*(E359+F359+G359)</f>
        <v>1.296</v>
      </c>
      <c r="K359" s="50">
        <f t="shared" si="144"/>
        <v>5.6160000000000005</v>
      </c>
      <c r="L359" s="51">
        <f t="shared" si="145"/>
        <v>8367840.0000000009</v>
      </c>
      <c r="M359" s="58"/>
      <c r="N359" s="58"/>
      <c r="O359" s="51">
        <f t="shared" si="146"/>
        <v>8367840.0000000009</v>
      </c>
      <c r="P359" s="53">
        <f t="shared" si="153"/>
        <v>675864</v>
      </c>
      <c r="Q359" s="54"/>
      <c r="R359" s="53">
        <f t="shared" si="142"/>
        <v>675864</v>
      </c>
      <c r="S359" s="53">
        <f t="shared" si="154"/>
        <v>7691976.0000000009</v>
      </c>
      <c r="T359" s="2"/>
    </row>
    <row r="360" spans="1:20">
      <c r="A360" s="21">
        <v>15</v>
      </c>
      <c r="B360" s="39" t="s">
        <v>21</v>
      </c>
      <c r="C360" s="40" t="s">
        <v>71</v>
      </c>
      <c r="D360" s="55" t="s">
        <v>27</v>
      </c>
      <c r="E360" s="24">
        <v>4.32</v>
      </c>
      <c r="F360" s="24"/>
      <c r="G360" s="33"/>
      <c r="H360" s="35"/>
      <c r="I360" s="48"/>
      <c r="J360" s="49">
        <f t="shared" ref="J360:J362" si="155">30/100*(E360+F360+G360)</f>
        <v>1.296</v>
      </c>
      <c r="K360" s="50">
        <f t="shared" si="144"/>
        <v>5.6160000000000005</v>
      </c>
      <c r="L360" s="51">
        <f t="shared" si="145"/>
        <v>8367840.0000000009</v>
      </c>
      <c r="M360" s="58"/>
      <c r="N360" s="58"/>
      <c r="O360" s="51">
        <f t="shared" si="146"/>
        <v>8367840.0000000009</v>
      </c>
      <c r="P360" s="53">
        <f t="shared" si="153"/>
        <v>675864</v>
      </c>
      <c r="Q360" s="54"/>
      <c r="R360" s="53">
        <f t="shared" si="142"/>
        <v>675864</v>
      </c>
      <c r="S360" s="53">
        <f t="shared" si="154"/>
        <v>7691976.0000000009</v>
      </c>
      <c r="T360" s="41"/>
    </row>
    <row r="361" spans="1:20">
      <c r="A361" s="21">
        <v>16</v>
      </c>
      <c r="B361" s="39" t="s">
        <v>21</v>
      </c>
      <c r="C361" s="40" t="s">
        <v>38</v>
      </c>
      <c r="D361" s="55" t="s">
        <v>27</v>
      </c>
      <c r="E361" s="24">
        <v>4.32</v>
      </c>
      <c r="F361" s="24"/>
      <c r="G361" s="33"/>
      <c r="H361" s="35"/>
      <c r="I361" s="48"/>
      <c r="J361" s="49">
        <f t="shared" si="155"/>
        <v>1.296</v>
      </c>
      <c r="K361" s="50">
        <f t="shared" si="144"/>
        <v>5.6160000000000005</v>
      </c>
      <c r="L361" s="51">
        <f t="shared" si="145"/>
        <v>8367840.0000000009</v>
      </c>
      <c r="M361" s="58"/>
      <c r="N361" s="58"/>
      <c r="O361" s="51">
        <f t="shared" si="146"/>
        <v>8367840.0000000009</v>
      </c>
      <c r="P361" s="53">
        <f t="shared" si="153"/>
        <v>675864</v>
      </c>
      <c r="Q361" s="54"/>
      <c r="R361" s="53">
        <f t="shared" si="142"/>
        <v>675864</v>
      </c>
      <c r="S361" s="53">
        <f t="shared" si="154"/>
        <v>7691976.0000000009</v>
      </c>
      <c r="T361" s="41"/>
    </row>
    <row r="362" spans="1:20">
      <c r="A362" s="21">
        <v>17</v>
      </c>
      <c r="B362" s="39" t="s">
        <v>21</v>
      </c>
      <c r="C362" s="40" t="s">
        <v>72</v>
      </c>
      <c r="D362" s="55" t="s">
        <v>27</v>
      </c>
      <c r="E362" s="24">
        <v>4.32</v>
      </c>
      <c r="F362" s="24"/>
      <c r="G362" s="33"/>
      <c r="H362" s="35"/>
      <c r="I362" s="48"/>
      <c r="J362" s="49">
        <f t="shared" si="155"/>
        <v>1.296</v>
      </c>
      <c r="K362" s="50">
        <f t="shared" si="144"/>
        <v>5.6160000000000005</v>
      </c>
      <c r="L362" s="51">
        <f t="shared" si="145"/>
        <v>8367840.0000000009</v>
      </c>
      <c r="M362" s="58"/>
      <c r="N362" s="58"/>
      <c r="O362" s="51">
        <f t="shared" si="146"/>
        <v>8367840.0000000009</v>
      </c>
      <c r="P362" s="53">
        <f t="shared" si="153"/>
        <v>675864</v>
      </c>
      <c r="Q362" s="54"/>
      <c r="R362" s="53">
        <f t="shared" si="142"/>
        <v>675864</v>
      </c>
      <c r="S362" s="53">
        <f t="shared" si="154"/>
        <v>7691976.0000000009</v>
      </c>
      <c r="T362" s="41"/>
    </row>
    <row r="363" spans="1:20">
      <c r="A363" s="21">
        <v>18</v>
      </c>
      <c r="B363" s="39" t="s">
        <v>21</v>
      </c>
      <c r="C363" s="40" t="s">
        <v>91</v>
      </c>
      <c r="D363" s="55" t="s">
        <v>27</v>
      </c>
      <c r="E363" s="24">
        <v>4.32</v>
      </c>
      <c r="F363" s="24">
        <v>0.15</v>
      </c>
      <c r="G363" s="60"/>
      <c r="H363" s="35"/>
      <c r="I363" s="48"/>
      <c r="J363" s="49">
        <f>30/100*(E363+F363+G363)</f>
        <v>1.3410000000000002</v>
      </c>
      <c r="K363" s="61">
        <f t="shared" si="144"/>
        <v>5.8110000000000008</v>
      </c>
      <c r="L363" s="62">
        <f t="shared" si="145"/>
        <v>8658390.0000000019</v>
      </c>
      <c r="M363" s="63"/>
      <c r="N363" s="63"/>
      <c r="O363" s="62">
        <f t="shared" si="146"/>
        <v>8658390.0000000019</v>
      </c>
      <c r="P363" s="64">
        <f t="shared" si="153"/>
        <v>699331.50000000012</v>
      </c>
      <c r="Q363" s="54"/>
      <c r="R363" s="64">
        <f t="shared" si="142"/>
        <v>699331.50000000012</v>
      </c>
      <c r="S363" s="64">
        <f t="shared" si="154"/>
        <v>7959058.5000000019</v>
      </c>
      <c r="T363" s="41"/>
    </row>
    <row r="364" spans="1:20">
      <c r="A364" s="21">
        <v>19</v>
      </c>
      <c r="B364" s="39" t="s">
        <v>21</v>
      </c>
      <c r="C364" s="40" t="s">
        <v>39</v>
      </c>
      <c r="D364" s="55" t="s">
        <v>27</v>
      </c>
      <c r="E364" s="24">
        <v>4.32</v>
      </c>
      <c r="F364" s="24"/>
      <c r="G364" s="33"/>
      <c r="H364" s="36"/>
      <c r="I364" s="48"/>
      <c r="J364" s="49">
        <f>30/100*(E364+F364+G364)</f>
        <v>1.296</v>
      </c>
      <c r="K364" s="50">
        <f t="shared" si="144"/>
        <v>5.6160000000000005</v>
      </c>
      <c r="L364" s="51">
        <f t="shared" si="145"/>
        <v>8367840.0000000009</v>
      </c>
      <c r="M364" s="58"/>
      <c r="N364" s="58"/>
      <c r="O364" s="51">
        <f t="shared" si="146"/>
        <v>8367840.0000000009</v>
      </c>
      <c r="P364" s="53">
        <f t="shared" si="153"/>
        <v>675864</v>
      </c>
      <c r="Q364" s="54"/>
      <c r="R364" s="53">
        <f t="shared" si="142"/>
        <v>675864</v>
      </c>
      <c r="S364" s="53">
        <f t="shared" si="154"/>
        <v>7691976.0000000009</v>
      </c>
      <c r="T364" s="41"/>
    </row>
    <row r="365" spans="1:20">
      <c r="A365" s="21">
        <v>20</v>
      </c>
      <c r="B365" s="39" t="s">
        <v>22</v>
      </c>
      <c r="C365" s="40" t="s">
        <v>40</v>
      </c>
      <c r="D365" s="55" t="s">
        <v>90</v>
      </c>
      <c r="E365" s="24">
        <v>3.96</v>
      </c>
      <c r="F365" s="24">
        <v>0.15</v>
      </c>
      <c r="G365" s="33"/>
      <c r="H365" s="36"/>
      <c r="I365" s="48"/>
      <c r="J365" s="49">
        <f t="shared" ref="J365" si="156">30/100*(E365+F365+G365)</f>
        <v>1.2330000000000001</v>
      </c>
      <c r="K365" s="50">
        <f t="shared" si="144"/>
        <v>5.343</v>
      </c>
      <c r="L365" s="51">
        <f t="shared" si="145"/>
        <v>7961070</v>
      </c>
      <c r="M365" s="58"/>
      <c r="N365" s="58"/>
      <c r="O365" s="51">
        <f t="shared" si="146"/>
        <v>7961070</v>
      </c>
      <c r="P365" s="53">
        <f t="shared" si="153"/>
        <v>643009.50000000012</v>
      </c>
      <c r="Q365" s="54"/>
      <c r="R365" s="53">
        <f t="shared" si="142"/>
        <v>643009.50000000012</v>
      </c>
      <c r="S365" s="53">
        <f t="shared" si="154"/>
        <v>7318060.5</v>
      </c>
      <c r="T365" s="41"/>
    </row>
    <row r="366" spans="1:20" ht="15.75">
      <c r="A366" s="21">
        <v>21</v>
      </c>
      <c r="B366" s="39" t="s">
        <v>21</v>
      </c>
      <c r="C366" s="40" t="s">
        <v>73</v>
      </c>
      <c r="D366" s="55" t="s">
        <v>27</v>
      </c>
      <c r="E366" s="24">
        <v>3.99</v>
      </c>
      <c r="F366" s="24"/>
      <c r="G366" s="14"/>
      <c r="H366" s="10"/>
      <c r="I366" s="48"/>
      <c r="J366" s="49">
        <f>30/100*(E366+F366+G366)</f>
        <v>1.1970000000000001</v>
      </c>
      <c r="K366" s="50">
        <f t="shared" si="144"/>
        <v>5.1870000000000003</v>
      </c>
      <c r="L366" s="51">
        <f t="shared" si="145"/>
        <v>7728630</v>
      </c>
      <c r="M366" s="65"/>
      <c r="N366" s="65"/>
      <c r="O366" s="51">
        <f>L366-M366+N366</f>
        <v>7728630</v>
      </c>
      <c r="P366" s="53">
        <f t="shared" si="153"/>
        <v>624235.5</v>
      </c>
      <c r="Q366" s="54"/>
      <c r="R366" s="53">
        <f t="shared" si="142"/>
        <v>624235.5</v>
      </c>
      <c r="S366" s="53">
        <f>O366-R366-N366</f>
        <v>7104394.5</v>
      </c>
      <c r="T366" s="41"/>
    </row>
    <row r="367" spans="1:20" ht="15.75">
      <c r="A367" s="21">
        <v>22</v>
      </c>
      <c r="B367" s="39" t="s">
        <v>21</v>
      </c>
      <c r="C367" s="40" t="s">
        <v>41</v>
      </c>
      <c r="D367" s="55" t="s">
        <v>27</v>
      </c>
      <c r="E367" s="24">
        <v>3.99</v>
      </c>
      <c r="F367" s="56"/>
      <c r="G367" s="14"/>
      <c r="H367" s="10"/>
      <c r="I367" s="48"/>
      <c r="J367" s="49">
        <f t="shared" ref="J367:J372" si="157">30/100*(E367+F367+G367)</f>
        <v>1.1970000000000001</v>
      </c>
      <c r="K367" s="50">
        <f t="shared" si="144"/>
        <v>5.1870000000000003</v>
      </c>
      <c r="L367" s="51">
        <f t="shared" si="145"/>
        <v>7728630</v>
      </c>
      <c r="M367" s="58"/>
      <c r="N367" s="58"/>
      <c r="O367" s="51">
        <f t="shared" ref="O367:O372" si="158">L367-M367+N367</f>
        <v>7728630</v>
      </c>
      <c r="P367" s="53">
        <f t="shared" si="153"/>
        <v>624235.5</v>
      </c>
      <c r="Q367" s="54"/>
      <c r="R367" s="53">
        <f t="shared" si="142"/>
        <v>624235.5</v>
      </c>
      <c r="S367" s="53">
        <f t="shared" ref="S367:S370" si="159">O367-R367</f>
        <v>7104394.5</v>
      </c>
      <c r="T367" s="41"/>
    </row>
    <row r="368" spans="1:20">
      <c r="A368" s="21">
        <v>23</v>
      </c>
      <c r="B368" s="39" t="s">
        <v>21</v>
      </c>
      <c r="C368" s="40" t="s">
        <v>42</v>
      </c>
      <c r="D368" s="55" t="s">
        <v>27</v>
      </c>
      <c r="E368" s="24">
        <v>3.99</v>
      </c>
      <c r="F368" s="56"/>
      <c r="G368" s="14"/>
      <c r="H368" s="24">
        <v>0.1</v>
      </c>
      <c r="I368" s="48"/>
      <c r="J368" s="49">
        <f t="shared" si="157"/>
        <v>1.1970000000000001</v>
      </c>
      <c r="K368" s="50">
        <f t="shared" si="144"/>
        <v>5.2869999999999999</v>
      </c>
      <c r="L368" s="51">
        <f t="shared" si="145"/>
        <v>7877630</v>
      </c>
      <c r="M368" s="58"/>
      <c r="N368" s="58"/>
      <c r="O368" s="51">
        <f t="shared" si="158"/>
        <v>7877630</v>
      </c>
      <c r="P368" s="53">
        <f t="shared" si="153"/>
        <v>624235.5</v>
      </c>
      <c r="Q368" s="54"/>
      <c r="R368" s="53">
        <f t="shared" si="142"/>
        <v>624235.5</v>
      </c>
      <c r="S368" s="53">
        <f t="shared" si="159"/>
        <v>7253394.5</v>
      </c>
      <c r="T368" s="41"/>
    </row>
    <row r="369" spans="1:20" ht="15.75">
      <c r="A369" s="21">
        <v>24</v>
      </c>
      <c r="B369" s="39" t="s">
        <v>21</v>
      </c>
      <c r="C369" s="26" t="s">
        <v>74</v>
      </c>
      <c r="D369" s="55" t="s">
        <v>27</v>
      </c>
      <c r="E369" s="24">
        <v>3.99</v>
      </c>
      <c r="F369" s="56"/>
      <c r="G369" s="14"/>
      <c r="H369" s="10"/>
      <c r="I369" s="66"/>
      <c r="J369" s="67">
        <f t="shared" si="157"/>
        <v>1.1970000000000001</v>
      </c>
      <c r="K369" s="68">
        <f t="shared" si="144"/>
        <v>5.1870000000000003</v>
      </c>
      <c r="L369" s="69">
        <f t="shared" si="145"/>
        <v>7728630</v>
      </c>
      <c r="M369" s="70"/>
      <c r="N369" s="70"/>
      <c r="O369" s="69">
        <f t="shared" si="158"/>
        <v>7728630</v>
      </c>
      <c r="P369" s="71">
        <f t="shared" si="153"/>
        <v>624235.5</v>
      </c>
      <c r="Q369" s="54"/>
      <c r="R369" s="71">
        <f t="shared" si="142"/>
        <v>624235.5</v>
      </c>
      <c r="S369" s="71">
        <f t="shared" si="159"/>
        <v>7104394.5</v>
      </c>
      <c r="T369" s="41"/>
    </row>
    <row r="370" spans="1:20" ht="15.75">
      <c r="A370" s="21">
        <v>25</v>
      </c>
      <c r="B370" s="72" t="s">
        <v>21</v>
      </c>
      <c r="C370" s="26" t="s">
        <v>43</v>
      </c>
      <c r="D370" s="55" t="s">
        <v>27</v>
      </c>
      <c r="E370" s="24">
        <v>3.99</v>
      </c>
      <c r="F370" s="56"/>
      <c r="G370" s="14"/>
      <c r="H370" s="10"/>
      <c r="I370" s="66"/>
      <c r="J370" s="67">
        <f t="shared" si="157"/>
        <v>1.1970000000000001</v>
      </c>
      <c r="K370" s="68">
        <f t="shared" si="144"/>
        <v>5.1870000000000003</v>
      </c>
      <c r="L370" s="69">
        <f t="shared" si="145"/>
        <v>7728630</v>
      </c>
      <c r="M370" s="70"/>
      <c r="N370" s="70"/>
      <c r="O370" s="69">
        <f t="shared" si="158"/>
        <v>7728630</v>
      </c>
      <c r="P370" s="71">
        <f t="shared" si="153"/>
        <v>624235.5</v>
      </c>
      <c r="Q370" s="54"/>
      <c r="R370" s="71">
        <f t="shared" si="142"/>
        <v>624235.5</v>
      </c>
      <c r="S370" s="71">
        <f t="shared" si="159"/>
        <v>7104394.5</v>
      </c>
      <c r="T370" s="41"/>
    </row>
    <row r="371" spans="1:20" ht="15.75">
      <c r="A371" s="21">
        <v>26</v>
      </c>
      <c r="B371" s="39" t="s">
        <v>21</v>
      </c>
      <c r="C371" s="26" t="s">
        <v>58</v>
      </c>
      <c r="D371" s="55" t="s">
        <v>27</v>
      </c>
      <c r="E371" s="24">
        <v>3.33</v>
      </c>
      <c r="F371" s="56"/>
      <c r="G371" s="14"/>
      <c r="H371" s="10"/>
      <c r="I371" s="48"/>
      <c r="J371" s="49">
        <f t="shared" si="157"/>
        <v>0.999</v>
      </c>
      <c r="K371" s="50">
        <f t="shared" si="144"/>
        <v>4.3289999999999997</v>
      </c>
      <c r="L371" s="51">
        <f t="shared" si="145"/>
        <v>6450210</v>
      </c>
      <c r="M371" s="58"/>
      <c r="N371" s="58"/>
      <c r="O371" s="51">
        <f t="shared" si="158"/>
        <v>6450210</v>
      </c>
      <c r="P371" s="53">
        <f t="shared" si="153"/>
        <v>520978.5</v>
      </c>
      <c r="Q371" s="54"/>
      <c r="R371" s="53">
        <f t="shared" si="142"/>
        <v>520978.5</v>
      </c>
      <c r="S371" s="53">
        <f>O371-R371</f>
        <v>5929231.5</v>
      </c>
      <c r="T371" s="41"/>
    </row>
    <row r="372" spans="1:20" ht="15.75">
      <c r="A372" s="21">
        <v>27</v>
      </c>
      <c r="B372" s="39" t="s">
        <v>21</v>
      </c>
      <c r="C372" s="40" t="s">
        <v>44</v>
      </c>
      <c r="D372" s="55" t="s">
        <v>27</v>
      </c>
      <c r="E372" s="24">
        <v>3.99</v>
      </c>
      <c r="F372" s="56"/>
      <c r="G372" s="14"/>
      <c r="H372" s="10"/>
      <c r="I372" s="48"/>
      <c r="J372" s="49">
        <f t="shared" si="157"/>
        <v>1.1970000000000001</v>
      </c>
      <c r="K372" s="50">
        <f t="shared" si="144"/>
        <v>5.1870000000000003</v>
      </c>
      <c r="L372" s="51">
        <f t="shared" si="145"/>
        <v>7728630</v>
      </c>
      <c r="M372" s="58"/>
      <c r="N372" s="58"/>
      <c r="O372" s="51">
        <f t="shared" si="158"/>
        <v>7728630</v>
      </c>
      <c r="P372" s="53">
        <f t="shared" si="153"/>
        <v>624235.5</v>
      </c>
      <c r="Q372" s="54"/>
      <c r="R372" s="53">
        <f t="shared" si="142"/>
        <v>624235.5</v>
      </c>
      <c r="S372" s="53">
        <f t="shared" ref="S372:S375" si="160">O372-R372</f>
        <v>7104394.5</v>
      </c>
      <c r="T372" s="41"/>
    </row>
    <row r="373" spans="1:20" ht="15.75">
      <c r="A373" s="21">
        <v>28</v>
      </c>
      <c r="B373" s="39" t="s">
        <v>53</v>
      </c>
      <c r="C373" s="73" t="s">
        <v>75</v>
      </c>
      <c r="D373" s="55" t="s">
        <v>83</v>
      </c>
      <c r="E373" s="74">
        <v>3.46</v>
      </c>
      <c r="F373" s="56">
        <v>0.15</v>
      </c>
      <c r="G373" s="14"/>
      <c r="H373" s="10"/>
      <c r="I373" s="48"/>
      <c r="J373" s="49"/>
      <c r="K373" s="50">
        <f>E373+F373+G373+H373+I373+J373</f>
        <v>3.61</v>
      </c>
      <c r="L373" s="51">
        <f>K373*1490000</f>
        <v>5378900</v>
      </c>
      <c r="M373" s="65"/>
      <c r="N373" s="75"/>
      <c r="O373" s="51">
        <f>L373-M373+N373</f>
        <v>5378900</v>
      </c>
      <c r="P373" s="53">
        <f t="shared" si="153"/>
        <v>564784.5</v>
      </c>
      <c r="Q373" s="54"/>
      <c r="R373" s="53">
        <f t="shared" si="142"/>
        <v>564784.5</v>
      </c>
      <c r="S373" s="53">
        <f t="shared" si="160"/>
        <v>4814115.5</v>
      </c>
      <c r="T373" s="41"/>
    </row>
    <row r="374" spans="1:20" ht="15.75">
      <c r="A374" s="21">
        <v>29</v>
      </c>
      <c r="B374" s="39" t="s">
        <v>89</v>
      </c>
      <c r="C374" s="42" t="s">
        <v>46</v>
      </c>
      <c r="D374" s="55" t="s">
        <v>27</v>
      </c>
      <c r="E374" s="24">
        <v>4</v>
      </c>
      <c r="F374" s="24"/>
      <c r="G374" s="14"/>
      <c r="H374" s="10"/>
      <c r="I374" s="48"/>
      <c r="J374" s="49">
        <f t="shared" ref="J374:J375" si="161">30/100*(E374+F374+G374)</f>
        <v>1.2</v>
      </c>
      <c r="K374" s="50">
        <f t="shared" ref="K374:K376" si="162">E374+F374+G374+H374+I374+J374</f>
        <v>5.2</v>
      </c>
      <c r="L374" s="51">
        <f t="shared" ref="L374:L378" si="163">K374*1490000</f>
        <v>7748000</v>
      </c>
      <c r="M374" s="58"/>
      <c r="N374" s="58"/>
      <c r="O374" s="51">
        <f t="shared" ref="O374:O382" si="164">L374-M374+N374</f>
        <v>7748000</v>
      </c>
      <c r="P374" s="53">
        <f t="shared" si="153"/>
        <v>625800</v>
      </c>
      <c r="Q374" s="54"/>
      <c r="R374" s="53">
        <f t="shared" si="142"/>
        <v>625800</v>
      </c>
      <c r="S374" s="76">
        <f t="shared" si="160"/>
        <v>7122200</v>
      </c>
      <c r="T374" s="41"/>
    </row>
    <row r="375" spans="1:20" ht="15.75">
      <c r="A375" s="21">
        <v>30</v>
      </c>
      <c r="B375" s="39" t="s">
        <v>21</v>
      </c>
      <c r="C375" s="40" t="s">
        <v>47</v>
      </c>
      <c r="D375" s="55" t="s">
        <v>27</v>
      </c>
      <c r="E375" s="24">
        <v>3.99</v>
      </c>
      <c r="F375" s="24"/>
      <c r="G375" s="14"/>
      <c r="H375" s="10"/>
      <c r="I375" s="48"/>
      <c r="J375" s="49">
        <f t="shared" si="161"/>
        <v>1.1970000000000001</v>
      </c>
      <c r="K375" s="50">
        <f t="shared" si="162"/>
        <v>5.1870000000000003</v>
      </c>
      <c r="L375" s="51">
        <f t="shared" si="163"/>
        <v>7728630</v>
      </c>
      <c r="M375" s="53"/>
      <c r="N375" s="58"/>
      <c r="O375" s="51">
        <f t="shared" si="164"/>
        <v>7728630</v>
      </c>
      <c r="P375" s="53">
        <f t="shared" si="153"/>
        <v>624235.5</v>
      </c>
      <c r="Q375" s="54"/>
      <c r="R375" s="53">
        <f t="shared" si="142"/>
        <v>624235.5</v>
      </c>
      <c r="S375" s="76">
        <f t="shared" si="160"/>
        <v>7104394.5</v>
      </c>
      <c r="T375" s="41"/>
    </row>
    <row r="376" spans="1:20" ht="15.75">
      <c r="A376" s="21">
        <v>31</v>
      </c>
      <c r="B376" s="39" t="s">
        <v>21</v>
      </c>
      <c r="C376" s="40" t="s">
        <v>48</v>
      </c>
      <c r="D376" s="55" t="s">
        <v>27</v>
      </c>
      <c r="E376" s="24">
        <v>3.66</v>
      </c>
      <c r="F376" s="24"/>
      <c r="G376" s="14"/>
      <c r="H376" s="10"/>
      <c r="I376" s="48"/>
      <c r="J376" s="49">
        <f>30/100*(E376+F376+G376)</f>
        <v>1.0980000000000001</v>
      </c>
      <c r="K376" s="50">
        <f t="shared" si="162"/>
        <v>4.758</v>
      </c>
      <c r="L376" s="51">
        <f t="shared" si="163"/>
        <v>7089420</v>
      </c>
      <c r="M376" s="53"/>
      <c r="N376" s="58"/>
      <c r="O376" s="51">
        <f t="shared" si="164"/>
        <v>7089420</v>
      </c>
      <c r="P376" s="53">
        <f t="shared" si="153"/>
        <v>572607</v>
      </c>
      <c r="Q376" s="54"/>
      <c r="R376" s="53">
        <f t="shared" si="142"/>
        <v>572607</v>
      </c>
      <c r="S376" s="76">
        <f>O376-R376</f>
        <v>6516813</v>
      </c>
      <c r="T376" s="41"/>
    </row>
    <row r="377" spans="1:20" ht="15.75">
      <c r="A377" s="21">
        <v>32</v>
      </c>
      <c r="B377" s="39" t="s">
        <v>21</v>
      </c>
      <c r="C377" s="40" t="s">
        <v>92</v>
      </c>
      <c r="D377" s="55" t="s">
        <v>27</v>
      </c>
      <c r="E377" s="24">
        <v>3.33</v>
      </c>
      <c r="F377" s="24"/>
      <c r="G377" s="14"/>
      <c r="H377" s="10"/>
      <c r="I377" s="48"/>
      <c r="J377" s="49">
        <f>30/100*(E377+F377+G377)</f>
        <v>0.999</v>
      </c>
      <c r="K377" s="50">
        <f>E377+F377+G377+H377+I377+J377</f>
        <v>4.3289999999999997</v>
      </c>
      <c r="L377" s="51">
        <f t="shared" si="163"/>
        <v>6450210</v>
      </c>
      <c r="M377" s="53"/>
      <c r="N377" s="53"/>
      <c r="O377" s="51">
        <f t="shared" si="164"/>
        <v>6450210</v>
      </c>
      <c r="P377" s="53">
        <f>((E377+F377+G377+I377)*1490000)*10.5%</f>
        <v>520978.5</v>
      </c>
      <c r="Q377" s="54"/>
      <c r="R377" s="53">
        <f t="shared" si="142"/>
        <v>520978.5</v>
      </c>
      <c r="S377" s="76">
        <f t="shared" ref="S377:S378" si="165">O377-R377</f>
        <v>5929231.5</v>
      </c>
      <c r="T377" s="41"/>
    </row>
    <row r="378" spans="1:20" ht="15.75">
      <c r="A378" s="21">
        <v>33</v>
      </c>
      <c r="B378" s="39" t="s">
        <v>21</v>
      </c>
      <c r="C378" s="40" t="s">
        <v>93</v>
      </c>
      <c r="D378" s="55" t="s">
        <v>27</v>
      </c>
      <c r="E378" s="24">
        <v>3.66</v>
      </c>
      <c r="F378" s="24"/>
      <c r="G378" s="14"/>
      <c r="H378" s="10"/>
      <c r="I378" s="48"/>
      <c r="J378" s="49">
        <f>30/100*(E378+F378+G378)</f>
        <v>1.0980000000000001</v>
      </c>
      <c r="K378" s="50">
        <f>E378+F378+G378+H378+I378+J378</f>
        <v>4.758</v>
      </c>
      <c r="L378" s="51">
        <f t="shared" si="163"/>
        <v>7089420</v>
      </c>
      <c r="M378" s="53"/>
      <c r="N378" s="53"/>
      <c r="O378" s="51">
        <f t="shared" si="164"/>
        <v>7089420</v>
      </c>
      <c r="P378" s="53">
        <f>((E378+F378+G378+I378)*1490000)*10.5%</f>
        <v>572607</v>
      </c>
      <c r="Q378" s="54"/>
      <c r="R378" s="53">
        <f t="shared" si="142"/>
        <v>572607</v>
      </c>
      <c r="S378" s="76">
        <f t="shared" si="165"/>
        <v>6516813</v>
      </c>
      <c r="T378" s="41"/>
    </row>
    <row r="379" spans="1:20" ht="15.75">
      <c r="A379" s="21">
        <v>34</v>
      </c>
      <c r="B379" s="39" t="s">
        <v>94</v>
      </c>
      <c r="C379" s="42" t="s">
        <v>95</v>
      </c>
      <c r="D379" s="77" t="s">
        <v>27</v>
      </c>
      <c r="E379" s="24">
        <v>3</v>
      </c>
      <c r="F379" s="24"/>
      <c r="G379" s="14"/>
      <c r="H379" s="11"/>
      <c r="I379" s="48"/>
      <c r="J379" s="49">
        <f>30/100*(E379+F379+G379)</f>
        <v>0.89999999999999991</v>
      </c>
      <c r="K379" s="50">
        <f>E379+F379+G379+H379+I379+J379</f>
        <v>3.9</v>
      </c>
      <c r="L379" s="51">
        <f>K379*1490000</f>
        <v>5811000</v>
      </c>
      <c r="M379" s="65"/>
      <c r="N379" s="65"/>
      <c r="O379" s="51">
        <f t="shared" si="164"/>
        <v>5811000</v>
      </c>
      <c r="P379" s="53">
        <f t="shared" ref="P379:P380" si="166">((E379+F379+G379+I379)*1490000-M379)*10.5%</f>
        <v>469350</v>
      </c>
      <c r="Q379" s="54"/>
      <c r="R379" s="53">
        <f t="shared" si="142"/>
        <v>469350</v>
      </c>
      <c r="S379" s="76">
        <f>O379-R379-N379</f>
        <v>5341650</v>
      </c>
      <c r="T379" s="41"/>
    </row>
    <row r="380" spans="1:20">
      <c r="A380" s="21">
        <v>35</v>
      </c>
      <c r="B380" s="39" t="s">
        <v>23</v>
      </c>
      <c r="C380" s="40" t="s">
        <v>49</v>
      </c>
      <c r="D380" s="55" t="s">
        <v>45</v>
      </c>
      <c r="E380" s="24">
        <v>3.34</v>
      </c>
      <c r="F380" s="24"/>
      <c r="G380" s="14"/>
      <c r="H380" s="24">
        <v>0.2</v>
      </c>
      <c r="I380" s="48"/>
      <c r="J380" s="49"/>
      <c r="K380" s="50">
        <f t="shared" ref="K380" si="167">E380+F380+G380+H380+I380+J380</f>
        <v>3.54</v>
      </c>
      <c r="L380" s="51">
        <f t="shared" ref="L380" si="168">K380*1490000</f>
        <v>5274600</v>
      </c>
      <c r="M380" s="53"/>
      <c r="N380" s="58"/>
      <c r="O380" s="51">
        <f t="shared" si="164"/>
        <v>5274600</v>
      </c>
      <c r="P380" s="53">
        <f t="shared" si="166"/>
        <v>522543</v>
      </c>
      <c r="Q380" s="54"/>
      <c r="R380" s="53">
        <f t="shared" si="142"/>
        <v>522543</v>
      </c>
      <c r="S380" s="76">
        <f>O380-R380</f>
        <v>4752057</v>
      </c>
      <c r="T380" s="41"/>
    </row>
    <row r="381" spans="1:20">
      <c r="A381" s="21">
        <v>36</v>
      </c>
      <c r="B381" s="39" t="s">
        <v>52</v>
      </c>
      <c r="C381" s="40" t="s">
        <v>50</v>
      </c>
      <c r="D381" s="77" t="s">
        <v>45</v>
      </c>
      <c r="E381" s="24">
        <v>2.86</v>
      </c>
      <c r="F381" s="24"/>
      <c r="G381" s="14"/>
      <c r="H381" s="24">
        <v>0.2</v>
      </c>
      <c r="I381" s="48"/>
      <c r="J381" s="49"/>
      <c r="K381" s="50">
        <f>E381+F381+G381+H381+I381+J381</f>
        <v>3.06</v>
      </c>
      <c r="L381" s="51">
        <f>K381*1490000</f>
        <v>4559400</v>
      </c>
      <c r="M381" s="53"/>
      <c r="N381" s="51"/>
      <c r="O381" s="51">
        <f t="shared" si="164"/>
        <v>4559400</v>
      </c>
      <c r="P381" s="53">
        <f>((E381+F381+G381+I381)*1490000)*10.5%</f>
        <v>447447</v>
      </c>
      <c r="Q381" s="53"/>
      <c r="R381" s="53">
        <f t="shared" si="142"/>
        <v>447447</v>
      </c>
      <c r="S381" s="76">
        <f>O381-R381</f>
        <v>4111953</v>
      </c>
      <c r="T381" s="41"/>
    </row>
    <row r="382" spans="1:20" ht="15.75">
      <c r="A382" s="21">
        <v>37</v>
      </c>
      <c r="B382" s="39" t="s">
        <v>54</v>
      </c>
      <c r="C382" s="40" t="s">
        <v>51</v>
      </c>
      <c r="D382" s="77" t="s">
        <v>96</v>
      </c>
      <c r="E382" s="24"/>
      <c r="F382" s="24"/>
      <c r="G382" s="14"/>
      <c r="H382" s="11"/>
      <c r="I382" s="48"/>
      <c r="J382" s="49"/>
      <c r="K382" s="50"/>
      <c r="L382" s="51">
        <v>3920000</v>
      </c>
      <c r="M382" s="53"/>
      <c r="N382" s="58"/>
      <c r="O382" s="51">
        <f t="shared" si="164"/>
        <v>3920000</v>
      </c>
      <c r="P382" s="53">
        <f>O382*10.5%</f>
        <v>411600</v>
      </c>
      <c r="Q382" s="53"/>
      <c r="R382" s="53">
        <f t="shared" si="142"/>
        <v>411600</v>
      </c>
      <c r="S382" s="76">
        <f>O382-R382</f>
        <v>3508400</v>
      </c>
      <c r="T382" s="2"/>
    </row>
    <row r="383" spans="1:20" ht="15.75">
      <c r="A383" s="2"/>
      <c r="B383" s="2"/>
      <c r="C383" s="3" t="s">
        <v>14</v>
      </c>
      <c r="D383" s="5"/>
      <c r="E383" s="27">
        <f t="shared" ref="E383" si="169">SUM(E346:E382)</f>
        <v>150.35999999999996</v>
      </c>
      <c r="F383" s="78">
        <f>SUM(F346:F382)</f>
        <v>2.1999999999999997</v>
      </c>
      <c r="G383" s="27">
        <f>SUM(G346:G382)</f>
        <v>0.94620000000000015</v>
      </c>
      <c r="H383" s="78">
        <f>SUM(H346:H382)</f>
        <v>0.60000000000000009</v>
      </c>
      <c r="I383" s="27">
        <f>SUM(I346:I382)</f>
        <v>0</v>
      </c>
      <c r="J383" s="27">
        <f t="shared" ref="J383" si="170">SUM(J346:J382)</f>
        <v>41.767860000000006</v>
      </c>
      <c r="K383" s="27">
        <f>SUM(K346:K382)</f>
        <v>195.8740600000001</v>
      </c>
      <c r="L383" s="28">
        <f t="shared" ref="L383:O383" si="171">SUM(L346:L382)</f>
        <v>295772349.39999998</v>
      </c>
      <c r="M383" s="75">
        <f t="shared" si="171"/>
        <v>0</v>
      </c>
      <c r="N383" s="75">
        <f t="shared" si="171"/>
        <v>0</v>
      </c>
      <c r="O383" s="28">
        <f t="shared" si="171"/>
        <v>295772349.39999998</v>
      </c>
      <c r="P383" s="28">
        <f>SUM(P346:P382)</f>
        <v>24347631.990000002</v>
      </c>
      <c r="Q383" s="28">
        <f>SUM(Q346:Q382)</f>
        <v>0</v>
      </c>
      <c r="R383" s="28">
        <f t="shared" ref="R383" si="172">SUM(R346:R382)</f>
        <v>24347631.990000002</v>
      </c>
      <c r="S383" s="32">
        <f>SUM(S346:S382)</f>
        <v>271424717.40999997</v>
      </c>
      <c r="T383" s="2"/>
    </row>
    <row r="384" spans="1:20">
      <c r="E384" s="9"/>
      <c r="F384" s="9"/>
      <c r="G384" s="9"/>
      <c r="H384" s="9"/>
      <c r="I384" s="19"/>
      <c r="J384" s="17"/>
    </row>
    <row r="385" spans="1:20">
      <c r="A385" s="1" t="s">
        <v>100</v>
      </c>
      <c r="D385" s="210" t="s">
        <v>259</v>
      </c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</row>
    <row r="386" spans="1:20" ht="15.75">
      <c r="A386" s="6"/>
      <c r="E386" s="9"/>
      <c r="F386" s="9"/>
      <c r="G386" s="9"/>
      <c r="H386" s="9"/>
      <c r="I386" s="19"/>
      <c r="J386" s="17"/>
      <c r="S386" s="15"/>
    </row>
    <row r="387" spans="1:20">
      <c r="A387" s="7"/>
      <c r="B387" s="7"/>
      <c r="C387" s="129">
        <f>L383+L316+L250</f>
        <v>883095937.79999995</v>
      </c>
      <c r="D387" s="211" t="s">
        <v>268</v>
      </c>
      <c r="E387" s="212"/>
      <c r="F387" s="212"/>
      <c r="G387" s="37"/>
      <c r="H387" s="37"/>
      <c r="I387" s="19"/>
      <c r="J387" s="17"/>
      <c r="N387" s="43"/>
      <c r="O387" s="43"/>
      <c r="P387" s="213" t="s">
        <v>252</v>
      </c>
      <c r="Q387" s="213"/>
      <c r="R387" s="213"/>
      <c r="S387" s="213"/>
    </row>
    <row r="388" spans="1:20">
      <c r="A388" s="214" t="s">
        <v>77</v>
      </c>
      <c r="B388" s="214"/>
      <c r="C388" s="214"/>
      <c r="D388" s="214"/>
      <c r="E388" s="214"/>
      <c r="F388" s="9"/>
      <c r="G388" s="44"/>
      <c r="H388" s="44"/>
      <c r="I388" s="19"/>
      <c r="J388" s="214" t="s">
        <v>79</v>
      </c>
      <c r="K388" s="214"/>
      <c r="L388" s="214"/>
      <c r="M388" s="214"/>
      <c r="P388" s="215" t="s">
        <v>65</v>
      </c>
      <c r="Q388" s="215"/>
      <c r="R388" s="215"/>
      <c r="S388" s="215"/>
    </row>
    <row r="389" spans="1:20">
      <c r="A389" s="216" t="s">
        <v>78</v>
      </c>
      <c r="B389" s="216"/>
      <c r="C389" s="216"/>
      <c r="D389" s="216"/>
      <c r="E389" s="9"/>
      <c r="F389" s="9"/>
      <c r="G389" s="9"/>
      <c r="H389" s="9"/>
      <c r="I389" s="19"/>
      <c r="J389" s="216" t="s">
        <v>80</v>
      </c>
      <c r="K389" s="216"/>
      <c r="L389" s="216"/>
      <c r="P389" s="217" t="s">
        <v>66</v>
      </c>
      <c r="Q389" s="217"/>
      <c r="R389" s="217"/>
      <c r="S389" s="217"/>
    </row>
    <row r="390" spans="1:20">
      <c r="E390" s="9"/>
      <c r="F390" s="9"/>
      <c r="G390" s="9"/>
      <c r="H390" s="9"/>
      <c r="I390" s="19"/>
      <c r="J390" s="17"/>
    </row>
    <row r="391" spans="1:20">
      <c r="B391" s="152"/>
      <c r="C391" s="79"/>
      <c r="D391" s="152"/>
      <c r="E391" s="9"/>
      <c r="F391" s="9"/>
      <c r="G391" s="9"/>
      <c r="H391" s="9"/>
      <c r="I391" s="19"/>
      <c r="J391" s="17"/>
    </row>
    <row r="392" spans="1:20" ht="15.75">
      <c r="B392" s="152"/>
      <c r="C392" s="153"/>
      <c r="D392" s="152"/>
      <c r="E392" s="9"/>
      <c r="F392" s="9"/>
      <c r="G392" s="9"/>
      <c r="H392" s="9"/>
      <c r="I392" s="19"/>
      <c r="J392" s="17"/>
      <c r="L392" s="12"/>
      <c r="P392" s="16"/>
    </row>
    <row r="393" spans="1:20" ht="15.75">
      <c r="B393" s="152"/>
      <c r="C393" s="153"/>
      <c r="D393" s="152"/>
      <c r="E393" s="9"/>
      <c r="F393" s="9"/>
      <c r="G393" s="9"/>
      <c r="H393" s="9"/>
      <c r="I393" s="19"/>
      <c r="J393" s="17"/>
    </row>
    <row r="394" spans="1:20" ht="15.75">
      <c r="B394" s="208" t="s">
        <v>267</v>
      </c>
      <c r="C394" s="208"/>
      <c r="D394" s="208"/>
      <c r="E394" s="9"/>
      <c r="F394" s="9"/>
      <c r="G394" s="9"/>
      <c r="H394" s="9"/>
      <c r="I394" s="19"/>
      <c r="J394" s="209" t="s">
        <v>59</v>
      </c>
      <c r="K394" s="209"/>
      <c r="L394" s="209"/>
      <c r="M394" s="209"/>
      <c r="P394" s="209" t="s">
        <v>81</v>
      </c>
      <c r="Q394" s="209"/>
      <c r="R394" s="209"/>
      <c r="S394" s="209"/>
    </row>
    <row r="397" spans="1:20" ht="15.75">
      <c r="A397" s="227" t="s">
        <v>55</v>
      </c>
      <c r="B397" s="227"/>
      <c r="C397" s="227"/>
      <c r="D397" s="227"/>
      <c r="E397" s="227"/>
      <c r="F397" s="227"/>
      <c r="G397" s="227"/>
      <c r="H397" s="227"/>
      <c r="I397" s="19"/>
      <c r="J397" s="17"/>
      <c r="Q397" s="228" t="s">
        <v>235</v>
      </c>
      <c r="R397" s="228"/>
      <c r="S397" s="228"/>
    </row>
    <row r="398" spans="1:20">
      <c r="A398" s="229" t="s">
        <v>67</v>
      </c>
      <c r="B398" s="229"/>
      <c r="C398" s="229"/>
      <c r="D398" s="229"/>
      <c r="E398" s="229"/>
      <c r="F398" s="229"/>
      <c r="G398" s="229"/>
      <c r="H398" s="9"/>
      <c r="I398" s="19"/>
      <c r="J398" s="17"/>
      <c r="R398" s="230" t="s">
        <v>68</v>
      </c>
      <c r="S398" s="230"/>
    </row>
    <row r="399" spans="1:20" ht="15.75">
      <c r="A399" s="227" t="s">
        <v>56</v>
      </c>
      <c r="B399" s="227"/>
      <c r="C399" s="227"/>
      <c r="D399" s="227"/>
      <c r="E399" s="227"/>
      <c r="F399" s="227"/>
      <c r="G399" s="227"/>
      <c r="H399" s="9"/>
      <c r="I399" s="19"/>
      <c r="J399" s="17"/>
      <c r="R399" s="29" t="s">
        <v>63</v>
      </c>
    </row>
    <row r="400" spans="1:20" ht="20.25">
      <c r="A400" s="231" t="s">
        <v>76</v>
      </c>
      <c r="B400" s="231"/>
      <c r="C400" s="231"/>
      <c r="D400" s="231"/>
      <c r="E400" s="231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</row>
    <row r="401" spans="1:20" ht="18.75">
      <c r="A401" s="232" t="s">
        <v>269</v>
      </c>
      <c r="B401" s="232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</row>
    <row r="402" spans="1:20">
      <c r="A402" s="225" t="s">
        <v>0</v>
      </c>
      <c r="B402" s="226" t="s">
        <v>1</v>
      </c>
      <c r="C402" s="226" t="s">
        <v>2</v>
      </c>
      <c r="D402" s="226" t="s">
        <v>3</v>
      </c>
      <c r="E402" s="226" t="s">
        <v>20</v>
      </c>
      <c r="F402" s="226"/>
      <c r="G402" s="226"/>
      <c r="H402" s="226"/>
      <c r="I402" s="226"/>
      <c r="J402" s="226"/>
      <c r="K402" s="226"/>
      <c r="L402" s="226"/>
      <c r="M402" s="233" t="s">
        <v>9</v>
      </c>
      <c r="N402" s="233" t="s">
        <v>11</v>
      </c>
      <c r="O402" s="226" t="s">
        <v>12</v>
      </c>
      <c r="P402" s="234" t="s">
        <v>13</v>
      </c>
      <c r="Q402" s="235"/>
      <c r="R402" s="236"/>
      <c r="S402" s="226" t="s">
        <v>15</v>
      </c>
      <c r="T402" s="218" t="s">
        <v>57</v>
      </c>
    </row>
    <row r="403" spans="1:20">
      <c r="A403" s="225"/>
      <c r="B403" s="226"/>
      <c r="C403" s="226"/>
      <c r="D403" s="226"/>
      <c r="E403" s="221" t="s">
        <v>4</v>
      </c>
      <c r="F403" s="222" t="s">
        <v>5</v>
      </c>
      <c r="G403" s="223" t="s">
        <v>6</v>
      </c>
      <c r="H403" s="223"/>
      <c r="I403" s="223"/>
      <c r="J403" s="223"/>
      <c r="K403" s="224" t="s">
        <v>7</v>
      </c>
      <c r="L403" s="224" t="s">
        <v>8</v>
      </c>
      <c r="M403" s="233"/>
      <c r="N403" s="233"/>
      <c r="O403" s="226"/>
      <c r="P403" s="225" t="s">
        <v>10</v>
      </c>
      <c r="Q403" s="226" t="s">
        <v>85</v>
      </c>
      <c r="R403" s="225" t="s">
        <v>14</v>
      </c>
      <c r="S403" s="226"/>
      <c r="T403" s="219"/>
    </row>
    <row r="404" spans="1:20" ht="42">
      <c r="A404" s="225"/>
      <c r="B404" s="226"/>
      <c r="C404" s="226"/>
      <c r="D404" s="226"/>
      <c r="E404" s="221"/>
      <c r="F404" s="222"/>
      <c r="G404" s="156" t="s">
        <v>26</v>
      </c>
      <c r="H404" s="156" t="s">
        <v>86</v>
      </c>
      <c r="I404" s="20" t="s">
        <v>24</v>
      </c>
      <c r="J404" s="18" t="s">
        <v>25</v>
      </c>
      <c r="K404" s="224"/>
      <c r="L404" s="224"/>
      <c r="M404" s="233"/>
      <c r="N404" s="233"/>
      <c r="O404" s="226"/>
      <c r="P404" s="225"/>
      <c r="Q404" s="226"/>
      <c r="R404" s="225"/>
      <c r="S404" s="226"/>
      <c r="T404" s="220"/>
    </row>
    <row r="405" spans="1:20">
      <c r="A405" s="4" t="s">
        <v>16</v>
      </c>
      <c r="B405" s="4" t="s">
        <v>17</v>
      </c>
      <c r="C405" s="4" t="s">
        <v>18</v>
      </c>
      <c r="D405" s="4" t="s">
        <v>19</v>
      </c>
      <c r="E405" s="13">
        <v>1</v>
      </c>
      <c r="F405" s="13">
        <v>2</v>
      </c>
      <c r="G405" s="13">
        <v>3</v>
      </c>
      <c r="H405" s="13">
        <v>4</v>
      </c>
      <c r="I405" s="13">
        <v>5</v>
      </c>
      <c r="J405" s="23">
        <v>6</v>
      </c>
      <c r="K405" s="4">
        <v>7</v>
      </c>
      <c r="L405" s="4">
        <v>8</v>
      </c>
      <c r="M405" s="4">
        <v>9</v>
      </c>
      <c r="N405" s="4">
        <v>10</v>
      </c>
      <c r="O405" s="30" t="s">
        <v>87</v>
      </c>
      <c r="P405" s="30">
        <v>12</v>
      </c>
      <c r="Q405" s="30">
        <v>13</v>
      </c>
      <c r="R405" s="30">
        <v>14</v>
      </c>
      <c r="S405" s="30" t="s">
        <v>88</v>
      </c>
      <c r="T405" s="2"/>
    </row>
    <row r="406" spans="1:20">
      <c r="A406" s="21">
        <v>1</v>
      </c>
      <c r="B406" s="39" t="s">
        <v>89</v>
      </c>
      <c r="C406" s="42" t="s">
        <v>60</v>
      </c>
      <c r="D406" s="46" t="s">
        <v>61</v>
      </c>
      <c r="E406" s="47">
        <v>5.0199999999999996</v>
      </c>
      <c r="F406" s="47">
        <v>0.35</v>
      </c>
      <c r="G406" s="25"/>
      <c r="H406" s="22"/>
      <c r="I406" s="48"/>
      <c r="J406" s="49">
        <f>30/100*(E406+F406+G406)</f>
        <v>1.6109999999999998</v>
      </c>
      <c r="K406" s="50">
        <f>E406+F406+G406+H406+I406+J406</f>
        <v>6.980999999999999</v>
      </c>
      <c r="L406" s="51">
        <f>K406*1490000</f>
        <v>10401689.999999998</v>
      </c>
      <c r="M406" s="52"/>
      <c r="N406" s="52"/>
      <c r="O406" s="51">
        <f>L406-M406+N406</f>
        <v>10401689.999999998</v>
      </c>
      <c r="P406" s="53">
        <f>((E406+F406+G406+I406)*1490000-M406)*9.5%</f>
        <v>760123.49999999988</v>
      </c>
      <c r="Q406" s="54"/>
      <c r="R406" s="53">
        <f>P406+Q406</f>
        <v>760123.49999999988</v>
      </c>
      <c r="S406" s="53">
        <f>O406-R406</f>
        <v>9641566.4999999981</v>
      </c>
      <c r="T406" s="41"/>
    </row>
    <row r="407" spans="1:20" ht="15.75">
      <c r="A407" s="21">
        <v>2</v>
      </c>
      <c r="B407" s="39" t="s">
        <v>21</v>
      </c>
      <c r="C407" s="40" t="s">
        <v>28</v>
      </c>
      <c r="D407" s="55" t="s">
        <v>27</v>
      </c>
      <c r="E407" s="24">
        <v>4.9800000000000004</v>
      </c>
      <c r="F407" s="56"/>
      <c r="G407" s="57">
        <f>E407*7%</f>
        <v>0.34860000000000008</v>
      </c>
      <c r="H407" s="10"/>
      <c r="I407" s="48"/>
      <c r="J407" s="49">
        <f>30/100*(E407+F407+G407)</f>
        <v>1.5985800000000001</v>
      </c>
      <c r="K407" s="50">
        <f>E407+F407+G407+H407+I407+J407</f>
        <v>6.9271800000000008</v>
      </c>
      <c r="L407" s="51">
        <f>K407*1490000</f>
        <v>10321498.200000001</v>
      </c>
      <c r="M407" s="58"/>
      <c r="N407" s="58"/>
      <c r="O407" s="51">
        <f>L407-M407+N407</f>
        <v>10321498.200000001</v>
      </c>
      <c r="P407" s="53">
        <f>((E407+F407+G407+I407)*1490000-M407)*10.5%</f>
        <v>833659.47000000009</v>
      </c>
      <c r="Q407" s="54"/>
      <c r="R407" s="53">
        <f t="shared" ref="R407:R442" si="173">P407+Q407</f>
        <v>833659.47000000009</v>
      </c>
      <c r="S407" s="53">
        <f t="shared" ref="S407" si="174">O407-R407</f>
        <v>9487838.7300000004</v>
      </c>
      <c r="T407" s="59">
        <v>7.0000000000000007E-2</v>
      </c>
    </row>
    <row r="408" spans="1:20" ht="15.75">
      <c r="A408" s="21">
        <v>3</v>
      </c>
      <c r="B408" s="39" t="s">
        <v>22</v>
      </c>
      <c r="C408" s="40" t="s">
        <v>30</v>
      </c>
      <c r="D408" s="55" t="s">
        <v>90</v>
      </c>
      <c r="E408" s="24">
        <v>4.8899999999999997</v>
      </c>
      <c r="F408" s="47">
        <v>0.15</v>
      </c>
      <c r="G408" s="57"/>
      <c r="H408" s="10"/>
      <c r="I408" s="48"/>
      <c r="J408" s="49">
        <f>30/100*(E408+F408+G408)</f>
        <v>1.512</v>
      </c>
      <c r="K408" s="50">
        <f t="shared" ref="K408:K432" si="175">E408+F408+G408+H408+I408+J408</f>
        <v>6.5519999999999996</v>
      </c>
      <c r="L408" s="51">
        <f t="shared" ref="L408:L432" si="176">K408*1490000</f>
        <v>9762480</v>
      </c>
      <c r="M408" s="58"/>
      <c r="N408" s="58"/>
      <c r="O408" s="51">
        <f t="shared" ref="O408:O425" si="177">L408-M408+N408</f>
        <v>9762480</v>
      </c>
      <c r="P408" s="53">
        <f t="shared" ref="P408:P412" si="178">((E408+F408+G408+I408)*1490000-M408)*10.5%</f>
        <v>788508</v>
      </c>
      <c r="Q408" s="54"/>
      <c r="R408" s="53">
        <f t="shared" si="173"/>
        <v>788508</v>
      </c>
      <c r="S408" s="53">
        <f>O408-R408</f>
        <v>8973972</v>
      </c>
      <c r="T408" s="2"/>
    </row>
    <row r="409" spans="1:20" ht="15.75">
      <c r="A409" s="21">
        <v>4</v>
      </c>
      <c r="B409" s="39" t="s">
        <v>21</v>
      </c>
      <c r="C409" s="40" t="s">
        <v>32</v>
      </c>
      <c r="D409" s="55" t="s">
        <v>29</v>
      </c>
      <c r="E409" s="24">
        <v>4.9800000000000004</v>
      </c>
      <c r="F409" s="47">
        <v>0.2</v>
      </c>
      <c r="G409" s="57">
        <f>E409*5%</f>
        <v>0.24900000000000003</v>
      </c>
      <c r="H409" s="10"/>
      <c r="I409" s="48"/>
      <c r="J409" s="49">
        <f t="shared" ref="J409" si="179">30/100*(E409+F409+G409)</f>
        <v>1.6287</v>
      </c>
      <c r="K409" s="50">
        <f t="shared" si="175"/>
        <v>7.0577000000000005</v>
      </c>
      <c r="L409" s="51">
        <f t="shared" si="176"/>
        <v>10515973</v>
      </c>
      <c r="M409" s="58"/>
      <c r="N409" s="58"/>
      <c r="O409" s="51">
        <f t="shared" si="177"/>
        <v>10515973</v>
      </c>
      <c r="P409" s="53">
        <f t="shared" si="178"/>
        <v>849367.04999999993</v>
      </c>
      <c r="Q409" s="54"/>
      <c r="R409" s="53">
        <f t="shared" si="173"/>
        <v>849367.04999999993</v>
      </c>
      <c r="S409" s="53">
        <f t="shared" ref="S409" si="180">O409-R409</f>
        <v>9666605.9499999993</v>
      </c>
      <c r="T409" s="59">
        <v>0.05</v>
      </c>
    </row>
    <row r="410" spans="1:20" ht="15.75">
      <c r="A410" s="21">
        <v>5</v>
      </c>
      <c r="B410" s="39" t="s">
        <v>21</v>
      </c>
      <c r="C410" s="40" t="s">
        <v>82</v>
      </c>
      <c r="D410" s="55" t="s">
        <v>29</v>
      </c>
      <c r="E410" s="24">
        <v>4.9800000000000004</v>
      </c>
      <c r="F410" s="47">
        <v>0.2</v>
      </c>
      <c r="G410" s="57">
        <f>E410*7%</f>
        <v>0.34860000000000008</v>
      </c>
      <c r="H410" s="10"/>
      <c r="I410" s="48"/>
      <c r="J410" s="49">
        <f>30/100*(E410+F410+G410)</f>
        <v>1.6585800000000002</v>
      </c>
      <c r="K410" s="50">
        <f t="shared" si="175"/>
        <v>7.1871800000000015</v>
      </c>
      <c r="L410" s="51">
        <f t="shared" si="176"/>
        <v>10708898.200000003</v>
      </c>
      <c r="M410" s="58"/>
      <c r="N410" s="58"/>
      <c r="O410" s="51">
        <f t="shared" si="177"/>
        <v>10708898.200000003</v>
      </c>
      <c r="P410" s="53">
        <f t="shared" si="178"/>
        <v>864949.47000000009</v>
      </c>
      <c r="Q410" s="54"/>
      <c r="R410" s="53">
        <f t="shared" si="173"/>
        <v>864949.47000000009</v>
      </c>
      <c r="S410" s="53">
        <f>O410-R410</f>
        <v>9843948.7300000023</v>
      </c>
      <c r="T410" s="59">
        <v>7.0000000000000007E-2</v>
      </c>
    </row>
    <row r="411" spans="1:20" ht="15.75">
      <c r="A411" s="21">
        <v>6</v>
      </c>
      <c r="B411" s="39" t="s">
        <v>21</v>
      </c>
      <c r="C411" s="40" t="s">
        <v>84</v>
      </c>
      <c r="D411" s="55" t="s">
        <v>62</v>
      </c>
      <c r="E411" s="24">
        <v>4.9800000000000004</v>
      </c>
      <c r="F411" s="47">
        <v>0.25</v>
      </c>
      <c r="G411" s="14"/>
      <c r="H411" s="10"/>
      <c r="I411" s="48"/>
      <c r="J411" s="49">
        <f t="shared" ref="J411" si="181">30/100*(E411+F411+G411)</f>
        <v>1.5690000000000002</v>
      </c>
      <c r="K411" s="50">
        <f t="shared" si="175"/>
        <v>6.7990000000000004</v>
      </c>
      <c r="L411" s="51">
        <f t="shared" si="176"/>
        <v>10130510</v>
      </c>
      <c r="M411" s="58"/>
      <c r="N411" s="58"/>
      <c r="O411" s="51">
        <f t="shared" si="177"/>
        <v>10130510</v>
      </c>
      <c r="P411" s="53">
        <f t="shared" si="178"/>
        <v>818233.50000000012</v>
      </c>
      <c r="Q411" s="54"/>
      <c r="R411" s="53">
        <f t="shared" si="173"/>
        <v>818233.50000000012</v>
      </c>
      <c r="S411" s="53">
        <f t="shared" ref="S411" si="182">O411-R411</f>
        <v>9312276.5</v>
      </c>
      <c r="T411" s="41"/>
    </row>
    <row r="412" spans="1:20" ht="15.75">
      <c r="A412" s="21">
        <v>7</v>
      </c>
      <c r="B412" s="39" t="s">
        <v>22</v>
      </c>
      <c r="C412" s="42" t="s">
        <v>31</v>
      </c>
      <c r="D412" s="55" t="s">
        <v>27</v>
      </c>
      <c r="E412" s="24">
        <v>4.8899999999999997</v>
      </c>
      <c r="F412" s="47"/>
      <c r="G412" s="57"/>
      <c r="H412" s="10"/>
      <c r="I412" s="48"/>
      <c r="J412" s="49">
        <f>30/100*(E412+F412+G412)</f>
        <v>1.4669999999999999</v>
      </c>
      <c r="K412" s="50">
        <f t="shared" si="175"/>
        <v>6.3569999999999993</v>
      </c>
      <c r="L412" s="51">
        <f t="shared" si="176"/>
        <v>9471929.9999999981</v>
      </c>
      <c r="M412" s="58"/>
      <c r="N412" s="58"/>
      <c r="O412" s="51">
        <f t="shared" si="177"/>
        <v>9471929.9999999981</v>
      </c>
      <c r="P412" s="53">
        <f t="shared" si="178"/>
        <v>765040.49999999988</v>
      </c>
      <c r="Q412" s="54"/>
      <c r="R412" s="53">
        <f t="shared" si="173"/>
        <v>765040.49999999988</v>
      </c>
      <c r="S412" s="53">
        <f>O412-R412</f>
        <v>8706889.4999999981</v>
      </c>
      <c r="T412" s="41"/>
    </row>
    <row r="413" spans="1:20" ht="15.75">
      <c r="A413" s="21">
        <v>8</v>
      </c>
      <c r="B413" s="39" t="s">
        <v>21</v>
      </c>
      <c r="C413" s="26" t="s">
        <v>70</v>
      </c>
      <c r="D413" s="55" t="s">
        <v>27</v>
      </c>
      <c r="E413" s="24">
        <v>4.9800000000000004</v>
      </c>
      <c r="F413" s="47"/>
      <c r="G413" s="14"/>
      <c r="H413" s="10"/>
      <c r="I413" s="48"/>
      <c r="J413" s="49">
        <f t="shared" ref="J413:J415" si="183">30/100*(E413+F413+G413)</f>
        <v>1.494</v>
      </c>
      <c r="K413" s="50">
        <f t="shared" si="175"/>
        <v>6.4740000000000002</v>
      </c>
      <c r="L413" s="51">
        <f t="shared" si="176"/>
        <v>9646260</v>
      </c>
      <c r="M413" s="58"/>
      <c r="N413" s="58"/>
      <c r="O413" s="51">
        <f t="shared" si="177"/>
        <v>9646260</v>
      </c>
      <c r="P413" s="53">
        <f>((E413+F413+G413+I413)*1490000-M413)*10.5%</f>
        <v>779121.00000000012</v>
      </c>
      <c r="Q413" s="54"/>
      <c r="R413" s="53">
        <f t="shared" si="173"/>
        <v>779121.00000000012</v>
      </c>
      <c r="S413" s="53">
        <f>O413-R413</f>
        <v>8867139</v>
      </c>
      <c r="T413" s="150" t="s">
        <v>251</v>
      </c>
    </row>
    <row r="414" spans="1:20" ht="15.75">
      <c r="A414" s="21">
        <v>9</v>
      </c>
      <c r="B414" s="39" t="s">
        <v>21</v>
      </c>
      <c r="C414" s="26" t="s">
        <v>33</v>
      </c>
      <c r="D414" s="55" t="s">
        <v>29</v>
      </c>
      <c r="E414" s="24">
        <v>4.6500000000000004</v>
      </c>
      <c r="F414" s="47">
        <v>0.2</v>
      </c>
      <c r="G414" s="14"/>
      <c r="H414" s="10"/>
      <c r="I414" s="48"/>
      <c r="J414" s="49">
        <f>30/100*(E414+F414+G414)</f>
        <v>1.4550000000000001</v>
      </c>
      <c r="K414" s="50">
        <f t="shared" si="175"/>
        <v>6.3050000000000006</v>
      </c>
      <c r="L414" s="51">
        <f t="shared" si="176"/>
        <v>9394450</v>
      </c>
      <c r="M414" s="58"/>
      <c r="N414" s="58"/>
      <c r="O414" s="51">
        <f t="shared" si="177"/>
        <v>9394450</v>
      </c>
      <c r="P414" s="53">
        <f t="shared" ref="P414:P415" si="184">((E414+F414+G414+I414)*1490000-M414)*10.5%</f>
        <v>758782.50000000012</v>
      </c>
      <c r="Q414" s="54"/>
      <c r="R414" s="53">
        <f t="shared" si="173"/>
        <v>758782.50000000012</v>
      </c>
      <c r="S414" s="53">
        <f t="shared" ref="S414:S416" si="185">O414-R414</f>
        <v>8635667.5</v>
      </c>
      <c r="T414" s="150"/>
    </row>
    <row r="415" spans="1:20" ht="15.75">
      <c r="A415" s="21">
        <v>10</v>
      </c>
      <c r="B415" s="39" t="s">
        <v>21</v>
      </c>
      <c r="C415" s="26" t="s">
        <v>34</v>
      </c>
      <c r="D415" s="55" t="s">
        <v>27</v>
      </c>
      <c r="E415" s="24">
        <v>4.32</v>
      </c>
      <c r="F415" s="47"/>
      <c r="G415" s="14"/>
      <c r="H415" s="10"/>
      <c r="I415" s="48"/>
      <c r="J415" s="49">
        <f t="shared" si="183"/>
        <v>1.296</v>
      </c>
      <c r="K415" s="50">
        <f t="shared" si="175"/>
        <v>5.6160000000000005</v>
      </c>
      <c r="L415" s="51">
        <f t="shared" si="176"/>
        <v>8367840.0000000009</v>
      </c>
      <c r="M415" s="58"/>
      <c r="N415" s="58"/>
      <c r="O415" s="51">
        <f t="shared" si="177"/>
        <v>8367840.0000000009</v>
      </c>
      <c r="P415" s="53">
        <f t="shared" si="184"/>
        <v>675864</v>
      </c>
      <c r="Q415" s="54"/>
      <c r="R415" s="53">
        <f t="shared" si="173"/>
        <v>675864</v>
      </c>
      <c r="S415" s="53">
        <f t="shared" si="185"/>
        <v>7691976.0000000009</v>
      </c>
      <c r="T415" s="150"/>
    </row>
    <row r="416" spans="1:20">
      <c r="A416" s="21">
        <v>11</v>
      </c>
      <c r="B416" s="39" t="s">
        <v>21</v>
      </c>
      <c r="C416" s="42" t="s">
        <v>36</v>
      </c>
      <c r="D416" s="55" t="s">
        <v>29</v>
      </c>
      <c r="E416" s="24">
        <v>4.32</v>
      </c>
      <c r="F416" s="47">
        <v>0.2</v>
      </c>
      <c r="G416" s="33"/>
      <c r="H416" s="35"/>
      <c r="I416" s="48"/>
      <c r="J416" s="49">
        <f>30/100*(E416+F416+G416)</f>
        <v>1.3560000000000001</v>
      </c>
      <c r="K416" s="50">
        <f t="shared" si="175"/>
        <v>5.8760000000000003</v>
      </c>
      <c r="L416" s="51">
        <f t="shared" si="176"/>
        <v>8755240</v>
      </c>
      <c r="M416" s="58"/>
      <c r="N416" s="58"/>
      <c r="O416" s="51">
        <f t="shared" si="177"/>
        <v>8755240</v>
      </c>
      <c r="P416" s="53">
        <f>((E416+F416+G416+I416)*1490000-M416)*10.5%</f>
        <v>707154.00000000012</v>
      </c>
      <c r="Q416" s="54"/>
      <c r="R416" s="53">
        <f t="shared" si="173"/>
        <v>707154.00000000012</v>
      </c>
      <c r="S416" s="53">
        <f t="shared" si="185"/>
        <v>8048086</v>
      </c>
      <c r="T416" s="151"/>
    </row>
    <row r="417" spans="1:20">
      <c r="A417" s="21">
        <v>12</v>
      </c>
      <c r="B417" s="39" t="s">
        <v>64</v>
      </c>
      <c r="C417" s="26" t="s">
        <v>59</v>
      </c>
      <c r="D417" s="55" t="s">
        <v>35</v>
      </c>
      <c r="E417" s="24">
        <v>4.2699999999999996</v>
      </c>
      <c r="F417" s="47">
        <v>0.2</v>
      </c>
      <c r="G417" s="33"/>
      <c r="H417" s="34">
        <v>0.1</v>
      </c>
      <c r="I417" s="48"/>
      <c r="J417" s="49"/>
      <c r="K417" s="50">
        <f t="shared" si="175"/>
        <v>4.5699999999999994</v>
      </c>
      <c r="L417" s="51">
        <f t="shared" si="176"/>
        <v>6809299.9999999991</v>
      </c>
      <c r="M417" s="58"/>
      <c r="N417" s="58"/>
      <c r="O417" s="51">
        <f t="shared" si="177"/>
        <v>6809299.9999999991</v>
      </c>
      <c r="P417" s="53">
        <f>((E417+F417+G417+I417)*1490000-M417)*10.5%</f>
        <v>699331.5</v>
      </c>
      <c r="Q417" s="54"/>
      <c r="R417" s="53">
        <f t="shared" si="173"/>
        <v>699331.5</v>
      </c>
      <c r="S417" s="53">
        <f>O417-R417</f>
        <v>6109968.4999999991</v>
      </c>
      <c r="T417" s="151"/>
    </row>
    <row r="418" spans="1:20">
      <c r="A418" s="21">
        <v>13</v>
      </c>
      <c r="B418" s="39" t="s">
        <v>21</v>
      </c>
      <c r="C418" s="40" t="s">
        <v>69</v>
      </c>
      <c r="D418" s="55" t="s">
        <v>27</v>
      </c>
      <c r="E418" s="24">
        <v>4.6500000000000004</v>
      </c>
      <c r="F418" s="47"/>
      <c r="G418" s="33"/>
      <c r="H418" s="35"/>
      <c r="I418" s="48"/>
      <c r="J418" s="49">
        <f>30/100*(E418+F418+G418)</f>
        <v>1.395</v>
      </c>
      <c r="K418" s="50">
        <f t="shared" si="175"/>
        <v>6.0449999999999999</v>
      </c>
      <c r="L418" s="51">
        <f t="shared" si="176"/>
        <v>9007050</v>
      </c>
      <c r="M418" s="58"/>
      <c r="N418" s="58"/>
      <c r="O418" s="51">
        <f t="shared" si="177"/>
        <v>9007050</v>
      </c>
      <c r="P418" s="53">
        <f t="shared" ref="P418:P436" si="186">((E418+F418+G418+I418)*1490000-M418)*10.5%</f>
        <v>727492.50000000012</v>
      </c>
      <c r="Q418" s="54"/>
      <c r="R418" s="53">
        <f t="shared" si="173"/>
        <v>727492.50000000012</v>
      </c>
      <c r="S418" s="53">
        <f t="shared" ref="S418:S425" si="187">O418-R418</f>
        <v>8279557.5</v>
      </c>
      <c r="T418" s="150" t="s">
        <v>251</v>
      </c>
    </row>
    <row r="419" spans="1:20">
      <c r="A419" s="21">
        <v>14</v>
      </c>
      <c r="B419" s="39" t="s">
        <v>21</v>
      </c>
      <c r="C419" s="40" t="s">
        <v>37</v>
      </c>
      <c r="D419" s="55" t="s">
        <v>27</v>
      </c>
      <c r="E419" s="24">
        <v>4.32</v>
      </c>
      <c r="F419" s="24"/>
      <c r="G419" s="33"/>
      <c r="H419" s="35"/>
      <c r="I419" s="48"/>
      <c r="J419" s="49">
        <f>30/100*(E419+F419+G419)</f>
        <v>1.296</v>
      </c>
      <c r="K419" s="50">
        <f t="shared" si="175"/>
        <v>5.6160000000000005</v>
      </c>
      <c r="L419" s="51">
        <f t="shared" si="176"/>
        <v>8367840.0000000009</v>
      </c>
      <c r="M419" s="58"/>
      <c r="N419" s="58"/>
      <c r="O419" s="51">
        <f t="shared" si="177"/>
        <v>8367840.0000000009</v>
      </c>
      <c r="P419" s="53">
        <f t="shared" si="186"/>
        <v>675864</v>
      </c>
      <c r="Q419" s="54"/>
      <c r="R419" s="53">
        <f t="shared" si="173"/>
        <v>675864</v>
      </c>
      <c r="S419" s="53">
        <f t="shared" si="187"/>
        <v>7691976.0000000009</v>
      </c>
      <c r="T419" s="2"/>
    </row>
    <row r="420" spans="1:20">
      <c r="A420" s="21">
        <v>15</v>
      </c>
      <c r="B420" s="39" t="s">
        <v>21</v>
      </c>
      <c r="C420" s="40" t="s">
        <v>71</v>
      </c>
      <c r="D420" s="55" t="s">
        <v>27</v>
      </c>
      <c r="E420" s="24">
        <v>4.32</v>
      </c>
      <c r="F420" s="24"/>
      <c r="G420" s="33"/>
      <c r="H420" s="35"/>
      <c r="I420" s="48"/>
      <c r="J420" s="49">
        <f t="shared" ref="J420:J422" si="188">30/100*(E420+F420+G420)</f>
        <v>1.296</v>
      </c>
      <c r="K420" s="50">
        <f t="shared" si="175"/>
        <v>5.6160000000000005</v>
      </c>
      <c r="L420" s="51">
        <f t="shared" si="176"/>
        <v>8367840.0000000009</v>
      </c>
      <c r="M420" s="58"/>
      <c r="N420" s="58"/>
      <c r="O420" s="51">
        <f t="shared" si="177"/>
        <v>8367840.0000000009</v>
      </c>
      <c r="P420" s="53">
        <f t="shared" si="186"/>
        <v>675864</v>
      </c>
      <c r="Q420" s="54"/>
      <c r="R420" s="53">
        <f t="shared" si="173"/>
        <v>675864</v>
      </c>
      <c r="S420" s="53">
        <f t="shared" si="187"/>
        <v>7691976.0000000009</v>
      </c>
      <c r="T420" s="41"/>
    </row>
    <row r="421" spans="1:20">
      <c r="A421" s="21">
        <v>16</v>
      </c>
      <c r="B421" s="39" t="s">
        <v>21</v>
      </c>
      <c r="C421" s="40" t="s">
        <v>38</v>
      </c>
      <c r="D421" s="55" t="s">
        <v>27</v>
      </c>
      <c r="E421" s="24">
        <v>4.32</v>
      </c>
      <c r="F421" s="24"/>
      <c r="G421" s="33"/>
      <c r="H421" s="35"/>
      <c r="I421" s="48"/>
      <c r="J421" s="49">
        <f t="shared" si="188"/>
        <v>1.296</v>
      </c>
      <c r="K421" s="50">
        <f t="shared" si="175"/>
        <v>5.6160000000000005</v>
      </c>
      <c r="L421" s="51">
        <f t="shared" si="176"/>
        <v>8367840.0000000009</v>
      </c>
      <c r="M421" s="58"/>
      <c r="N421" s="58"/>
      <c r="O421" s="51">
        <f t="shared" si="177"/>
        <v>8367840.0000000009</v>
      </c>
      <c r="P421" s="53">
        <f t="shared" si="186"/>
        <v>675864</v>
      </c>
      <c r="Q421" s="54"/>
      <c r="R421" s="53">
        <f t="shared" si="173"/>
        <v>675864</v>
      </c>
      <c r="S421" s="53">
        <f t="shared" si="187"/>
        <v>7691976.0000000009</v>
      </c>
      <c r="T421" s="41"/>
    </row>
    <row r="422" spans="1:20">
      <c r="A422" s="21">
        <v>17</v>
      </c>
      <c r="B422" s="39" t="s">
        <v>21</v>
      </c>
      <c r="C422" s="40" t="s">
        <v>72</v>
      </c>
      <c r="D422" s="55" t="s">
        <v>27</v>
      </c>
      <c r="E422" s="24">
        <v>4.32</v>
      </c>
      <c r="F422" s="24"/>
      <c r="G422" s="33"/>
      <c r="H422" s="35"/>
      <c r="I422" s="48"/>
      <c r="J422" s="49">
        <f t="shared" si="188"/>
        <v>1.296</v>
      </c>
      <c r="K422" s="50">
        <f t="shared" si="175"/>
        <v>5.6160000000000005</v>
      </c>
      <c r="L422" s="51">
        <f t="shared" si="176"/>
        <v>8367840.0000000009</v>
      </c>
      <c r="M422" s="58"/>
      <c r="N422" s="58"/>
      <c r="O422" s="51">
        <f t="shared" si="177"/>
        <v>8367840.0000000009</v>
      </c>
      <c r="P422" s="53">
        <f t="shared" si="186"/>
        <v>675864</v>
      </c>
      <c r="Q422" s="54"/>
      <c r="R422" s="53">
        <f t="shared" si="173"/>
        <v>675864</v>
      </c>
      <c r="S422" s="53">
        <f t="shared" si="187"/>
        <v>7691976.0000000009</v>
      </c>
      <c r="T422" s="41"/>
    </row>
    <row r="423" spans="1:20">
      <c r="A423" s="21">
        <v>18</v>
      </c>
      <c r="B423" s="39" t="s">
        <v>21</v>
      </c>
      <c r="C423" s="40" t="s">
        <v>91</v>
      </c>
      <c r="D423" s="55" t="s">
        <v>27</v>
      </c>
      <c r="E423" s="24">
        <v>4.32</v>
      </c>
      <c r="F423" s="24">
        <v>0.15</v>
      </c>
      <c r="G423" s="60"/>
      <c r="H423" s="35"/>
      <c r="I423" s="48"/>
      <c r="J423" s="49">
        <f>30/100*(E423+F423+G423)</f>
        <v>1.3410000000000002</v>
      </c>
      <c r="K423" s="61">
        <f t="shared" si="175"/>
        <v>5.8110000000000008</v>
      </c>
      <c r="L423" s="62">
        <f t="shared" si="176"/>
        <v>8658390.0000000019</v>
      </c>
      <c r="M423" s="63"/>
      <c r="N423" s="63"/>
      <c r="O423" s="62">
        <f t="shared" si="177"/>
        <v>8658390.0000000019</v>
      </c>
      <c r="P423" s="64">
        <f t="shared" si="186"/>
        <v>699331.50000000012</v>
      </c>
      <c r="Q423" s="54"/>
      <c r="R423" s="64">
        <f t="shared" si="173"/>
        <v>699331.50000000012</v>
      </c>
      <c r="S423" s="64">
        <f t="shared" si="187"/>
        <v>7959058.5000000019</v>
      </c>
      <c r="T423" s="41"/>
    </row>
    <row r="424" spans="1:20">
      <c r="A424" s="21">
        <v>19</v>
      </c>
      <c r="B424" s="39" t="s">
        <v>21</v>
      </c>
      <c r="C424" s="40" t="s">
        <v>39</v>
      </c>
      <c r="D424" s="55" t="s">
        <v>27</v>
      </c>
      <c r="E424" s="24">
        <v>4.32</v>
      </c>
      <c r="F424" s="24"/>
      <c r="G424" s="33"/>
      <c r="H424" s="36"/>
      <c r="I424" s="48"/>
      <c r="J424" s="49">
        <f>30/100*(E424+F424+G424)</f>
        <v>1.296</v>
      </c>
      <c r="K424" s="50">
        <f t="shared" si="175"/>
        <v>5.6160000000000005</v>
      </c>
      <c r="L424" s="51">
        <f t="shared" si="176"/>
        <v>8367840.0000000009</v>
      </c>
      <c r="M424" s="58"/>
      <c r="N424" s="58"/>
      <c r="O424" s="51">
        <f t="shared" si="177"/>
        <v>8367840.0000000009</v>
      </c>
      <c r="P424" s="53">
        <f t="shared" si="186"/>
        <v>675864</v>
      </c>
      <c r="Q424" s="54"/>
      <c r="R424" s="53">
        <f t="shared" si="173"/>
        <v>675864</v>
      </c>
      <c r="S424" s="53">
        <f t="shared" si="187"/>
        <v>7691976.0000000009</v>
      </c>
      <c r="T424" s="41"/>
    </row>
    <row r="425" spans="1:20">
      <c r="A425" s="21">
        <v>20</v>
      </c>
      <c r="B425" s="39" t="s">
        <v>22</v>
      </c>
      <c r="C425" s="40" t="s">
        <v>40</v>
      </c>
      <c r="D425" s="55" t="s">
        <v>90</v>
      </c>
      <c r="E425" s="24">
        <v>3.96</v>
      </c>
      <c r="F425" s="24">
        <v>0.15</v>
      </c>
      <c r="G425" s="33"/>
      <c r="H425" s="36"/>
      <c r="I425" s="48"/>
      <c r="J425" s="49">
        <f t="shared" ref="J425" si="189">30/100*(E425+F425+G425)</f>
        <v>1.2330000000000001</v>
      </c>
      <c r="K425" s="50">
        <f t="shared" si="175"/>
        <v>5.343</v>
      </c>
      <c r="L425" s="51">
        <f t="shared" si="176"/>
        <v>7961070</v>
      </c>
      <c r="M425" s="58"/>
      <c r="N425" s="58"/>
      <c r="O425" s="51">
        <f t="shared" si="177"/>
        <v>7961070</v>
      </c>
      <c r="P425" s="53">
        <f t="shared" si="186"/>
        <v>643009.50000000012</v>
      </c>
      <c r="Q425" s="54"/>
      <c r="R425" s="53">
        <f t="shared" si="173"/>
        <v>643009.50000000012</v>
      </c>
      <c r="S425" s="53">
        <f t="shared" si="187"/>
        <v>7318060.5</v>
      </c>
      <c r="T425" s="41"/>
    </row>
    <row r="426" spans="1:20" ht="15.75">
      <c r="A426" s="21">
        <v>21</v>
      </c>
      <c r="B426" s="39" t="s">
        <v>21</v>
      </c>
      <c r="C426" s="40" t="s">
        <v>73</v>
      </c>
      <c r="D426" s="55" t="s">
        <v>27</v>
      </c>
      <c r="E426" s="24">
        <v>3.99</v>
      </c>
      <c r="F426" s="24"/>
      <c r="G426" s="14"/>
      <c r="H426" s="10"/>
      <c r="I426" s="48"/>
      <c r="J426" s="49">
        <f>30/100*(E426+F426+G426)</f>
        <v>1.1970000000000001</v>
      </c>
      <c r="K426" s="50">
        <f t="shared" si="175"/>
        <v>5.1870000000000003</v>
      </c>
      <c r="L426" s="51">
        <f t="shared" si="176"/>
        <v>7728630</v>
      </c>
      <c r="M426" s="65"/>
      <c r="N426" s="65"/>
      <c r="O426" s="51">
        <f>L426-M426+N426</f>
        <v>7728630</v>
      </c>
      <c r="P426" s="53">
        <f t="shared" si="186"/>
        <v>624235.5</v>
      </c>
      <c r="Q426" s="54"/>
      <c r="R426" s="53">
        <f t="shared" si="173"/>
        <v>624235.5</v>
      </c>
      <c r="S426" s="53">
        <f>O426-R426-N426</f>
        <v>7104394.5</v>
      </c>
      <c r="T426" s="41"/>
    </row>
    <row r="427" spans="1:20" ht="15.75">
      <c r="A427" s="21">
        <v>22</v>
      </c>
      <c r="B427" s="39" t="s">
        <v>21</v>
      </c>
      <c r="C427" s="40" t="s">
        <v>41</v>
      </c>
      <c r="D427" s="55" t="s">
        <v>27</v>
      </c>
      <c r="E427" s="24">
        <v>3.99</v>
      </c>
      <c r="F427" s="56"/>
      <c r="G427" s="14"/>
      <c r="H427" s="10"/>
      <c r="I427" s="48"/>
      <c r="J427" s="49">
        <f>30/100*(E427+F427+G427)</f>
        <v>1.1970000000000001</v>
      </c>
      <c r="K427" s="50">
        <f t="shared" si="175"/>
        <v>5.1870000000000003</v>
      </c>
      <c r="L427" s="51">
        <f t="shared" si="176"/>
        <v>7728630</v>
      </c>
      <c r="M427" s="58"/>
      <c r="N427" s="58"/>
      <c r="O427" s="51">
        <f t="shared" ref="O427:O432" si="190">L427-M427+N427</f>
        <v>7728630</v>
      </c>
      <c r="P427" s="53">
        <f t="shared" si="186"/>
        <v>624235.5</v>
      </c>
      <c r="Q427" s="54"/>
      <c r="R427" s="53">
        <f t="shared" si="173"/>
        <v>624235.5</v>
      </c>
      <c r="S427" s="53">
        <f t="shared" ref="S427:S430" si="191">O427-R427</f>
        <v>7104394.5</v>
      </c>
      <c r="T427" s="41"/>
    </row>
    <row r="428" spans="1:20">
      <c r="A428" s="21">
        <v>23</v>
      </c>
      <c r="B428" s="39" t="s">
        <v>21</v>
      </c>
      <c r="C428" s="40" t="s">
        <v>42</v>
      </c>
      <c r="D428" s="55" t="s">
        <v>27</v>
      </c>
      <c r="E428" s="24">
        <v>3.99</v>
      </c>
      <c r="F428" s="56"/>
      <c r="G428" s="14"/>
      <c r="H428" s="24">
        <v>0.1</v>
      </c>
      <c r="I428" s="48"/>
      <c r="J428" s="49">
        <f t="shared" ref="J428:J432" si="192">30/100*(E428+F428+G428)</f>
        <v>1.1970000000000001</v>
      </c>
      <c r="K428" s="50">
        <f t="shared" si="175"/>
        <v>5.2869999999999999</v>
      </c>
      <c r="L428" s="51">
        <f t="shared" si="176"/>
        <v>7877630</v>
      </c>
      <c r="M428" s="58"/>
      <c r="N428" s="58"/>
      <c r="O428" s="51">
        <f t="shared" si="190"/>
        <v>7877630</v>
      </c>
      <c r="P428" s="53">
        <f t="shared" si="186"/>
        <v>624235.5</v>
      </c>
      <c r="Q428" s="54"/>
      <c r="R428" s="53">
        <f t="shared" si="173"/>
        <v>624235.5</v>
      </c>
      <c r="S428" s="53">
        <f t="shared" si="191"/>
        <v>7253394.5</v>
      </c>
      <c r="T428" s="41"/>
    </row>
    <row r="429" spans="1:20" ht="15.75">
      <c r="A429" s="21">
        <v>24</v>
      </c>
      <c r="B429" s="39" t="s">
        <v>21</v>
      </c>
      <c r="C429" s="26" t="s">
        <v>74</v>
      </c>
      <c r="D429" s="55" t="s">
        <v>27</v>
      </c>
      <c r="E429" s="24">
        <v>3.99</v>
      </c>
      <c r="F429" s="56"/>
      <c r="G429" s="14"/>
      <c r="H429" s="10"/>
      <c r="I429" s="66"/>
      <c r="J429" s="67">
        <f t="shared" si="192"/>
        <v>1.1970000000000001</v>
      </c>
      <c r="K429" s="68">
        <f t="shared" si="175"/>
        <v>5.1870000000000003</v>
      </c>
      <c r="L429" s="69">
        <f t="shared" si="176"/>
        <v>7728630</v>
      </c>
      <c r="M429" s="70"/>
      <c r="N429" s="70"/>
      <c r="O429" s="69">
        <f t="shared" si="190"/>
        <v>7728630</v>
      </c>
      <c r="P429" s="71">
        <f t="shared" si="186"/>
        <v>624235.5</v>
      </c>
      <c r="Q429" s="54"/>
      <c r="R429" s="71">
        <f t="shared" si="173"/>
        <v>624235.5</v>
      </c>
      <c r="S429" s="71">
        <f t="shared" si="191"/>
        <v>7104394.5</v>
      </c>
      <c r="T429" s="41"/>
    </row>
    <row r="430" spans="1:20" ht="15.75">
      <c r="A430" s="21">
        <v>25</v>
      </c>
      <c r="B430" s="72" t="s">
        <v>21</v>
      </c>
      <c r="C430" s="26" t="s">
        <v>43</v>
      </c>
      <c r="D430" s="55" t="s">
        <v>27</v>
      </c>
      <c r="E430" s="24">
        <v>3.99</v>
      </c>
      <c r="F430" s="56"/>
      <c r="G430" s="14"/>
      <c r="H430" s="10"/>
      <c r="I430" s="66"/>
      <c r="J430" s="67">
        <f t="shared" si="192"/>
        <v>1.1970000000000001</v>
      </c>
      <c r="K430" s="68">
        <f t="shared" si="175"/>
        <v>5.1870000000000003</v>
      </c>
      <c r="L430" s="69">
        <f t="shared" si="176"/>
        <v>7728630</v>
      </c>
      <c r="M430" s="70"/>
      <c r="N430" s="70"/>
      <c r="O430" s="69">
        <f t="shared" si="190"/>
        <v>7728630</v>
      </c>
      <c r="P430" s="71">
        <f t="shared" si="186"/>
        <v>624235.5</v>
      </c>
      <c r="Q430" s="54"/>
      <c r="R430" s="71">
        <f t="shared" si="173"/>
        <v>624235.5</v>
      </c>
      <c r="S430" s="71">
        <f t="shared" si="191"/>
        <v>7104394.5</v>
      </c>
      <c r="T430" s="41"/>
    </row>
    <row r="431" spans="1:20" ht="15.75">
      <c r="A431" s="21">
        <v>26</v>
      </c>
      <c r="B431" s="39" t="s">
        <v>21</v>
      </c>
      <c r="C431" s="26" t="s">
        <v>58</v>
      </c>
      <c r="D431" s="55" t="s">
        <v>27</v>
      </c>
      <c r="E431" s="24">
        <v>3.33</v>
      </c>
      <c r="F431" s="56"/>
      <c r="G431" s="14"/>
      <c r="H431" s="10"/>
      <c r="I431" s="48"/>
      <c r="J431" s="49">
        <f t="shared" si="192"/>
        <v>0.999</v>
      </c>
      <c r="K431" s="50">
        <f t="shared" si="175"/>
        <v>4.3289999999999997</v>
      </c>
      <c r="L431" s="51">
        <f t="shared" si="176"/>
        <v>6450210</v>
      </c>
      <c r="M431" s="58"/>
      <c r="N431" s="58"/>
      <c r="O431" s="51">
        <f t="shared" si="190"/>
        <v>6450210</v>
      </c>
      <c r="P431" s="53">
        <f t="shared" si="186"/>
        <v>520978.5</v>
      </c>
      <c r="Q431" s="54"/>
      <c r="R431" s="53">
        <f t="shared" si="173"/>
        <v>520978.5</v>
      </c>
      <c r="S431" s="53">
        <f>O431-R431</f>
        <v>5929231.5</v>
      </c>
      <c r="T431" s="41"/>
    </row>
    <row r="432" spans="1:20" ht="15.75">
      <c r="A432" s="21">
        <v>27</v>
      </c>
      <c r="B432" s="39" t="s">
        <v>21</v>
      </c>
      <c r="C432" s="40" t="s">
        <v>44</v>
      </c>
      <c r="D432" s="55" t="s">
        <v>27</v>
      </c>
      <c r="E432" s="24">
        <v>3.99</v>
      </c>
      <c r="F432" s="56"/>
      <c r="G432" s="14"/>
      <c r="H432" s="10"/>
      <c r="I432" s="48"/>
      <c r="J432" s="49">
        <f t="shared" si="192"/>
        <v>1.1970000000000001</v>
      </c>
      <c r="K432" s="50">
        <f t="shared" si="175"/>
        <v>5.1870000000000003</v>
      </c>
      <c r="L432" s="51">
        <f t="shared" si="176"/>
        <v>7728630</v>
      </c>
      <c r="M432" s="58"/>
      <c r="N432" s="58"/>
      <c r="O432" s="51">
        <f t="shared" si="190"/>
        <v>7728630</v>
      </c>
      <c r="P432" s="53">
        <f t="shared" si="186"/>
        <v>624235.5</v>
      </c>
      <c r="Q432" s="54"/>
      <c r="R432" s="53">
        <f t="shared" si="173"/>
        <v>624235.5</v>
      </c>
      <c r="S432" s="53">
        <f t="shared" ref="S432:S435" si="193">O432-R432</f>
        <v>7104394.5</v>
      </c>
      <c r="T432" s="41"/>
    </row>
    <row r="433" spans="1:20" ht="15.75">
      <c r="A433" s="21">
        <v>28</v>
      </c>
      <c r="B433" s="39" t="s">
        <v>53</v>
      </c>
      <c r="C433" s="73" t="s">
        <v>75</v>
      </c>
      <c r="D433" s="55" t="s">
        <v>83</v>
      </c>
      <c r="E433" s="74">
        <v>3.46</v>
      </c>
      <c r="F433" s="56">
        <v>0.15</v>
      </c>
      <c r="G433" s="14"/>
      <c r="H433" s="10"/>
      <c r="I433" s="48"/>
      <c r="J433" s="49"/>
      <c r="K433" s="50">
        <f>E433+F433+G433+H433+I433+J433</f>
        <v>3.61</v>
      </c>
      <c r="L433" s="51">
        <f>K433*1490000</f>
        <v>5378900</v>
      </c>
      <c r="M433" s="65">
        <f>(E433+F433)*1490000/26*5</f>
        <v>1034403.8461538461</v>
      </c>
      <c r="N433" s="75"/>
      <c r="O433" s="51">
        <f>L433-M433+N433</f>
        <v>4344496.153846154</v>
      </c>
      <c r="P433" s="53">
        <f t="shared" si="186"/>
        <v>456172.09615384613</v>
      </c>
      <c r="Q433" s="54"/>
      <c r="R433" s="53">
        <f t="shared" si="173"/>
        <v>456172.09615384613</v>
      </c>
      <c r="S433" s="53">
        <f t="shared" si="193"/>
        <v>3888324.057692308</v>
      </c>
      <c r="T433" s="41" t="s">
        <v>270</v>
      </c>
    </row>
    <row r="434" spans="1:20" ht="15.75">
      <c r="A434" s="21">
        <v>29</v>
      </c>
      <c r="B434" s="39" t="s">
        <v>89</v>
      </c>
      <c r="C434" s="42" t="s">
        <v>46</v>
      </c>
      <c r="D434" s="55" t="s">
        <v>27</v>
      </c>
      <c r="E434" s="24">
        <v>4</v>
      </c>
      <c r="F434" s="24"/>
      <c r="G434" s="14"/>
      <c r="H434" s="10"/>
      <c r="I434" s="48"/>
      <c r="J434" s="49">
        <f t="shared" ref="J434:J435" si="194">30/100*(E434+F434+G434)</f>
        <v>1.2</v>
      </c>
      <c r="K434" s="50">
        <f t="shared" ref="K434:K436" si="195">E434+F434+G434+H434+I434+J434</f>
        <v>5.2</v>
      </c>
      <c r="L434" s="51">
        <f t="shared" ref="L434:L438" si="196">K434*1490000</f>
        <v>7748000</v>
      </c>
      <c r="M434" s="58"/>
      <c r="N434" s="58"/>
      <c r="O434" s="51">
        <f t="shared" ref="O434:O442" si="197">L434-M434+N434</f>
        <v>7748000</v>
      </c>
      <c r="P434" s="53">
        <f t="shared" si="186"/>
        <v>625800</v>
      </c>
      <c r="Q434" s="54"/>
      <c r="R434" s="53">
        <f t="shared" si="173"/>
        <v>625800</v>
      </c>
      <c r="S434" s="76">
        <f t="shared" si="193"/>
        <v>7122200</v>
      </c>
      <c r="T434" s="41"/>
    </row>
    <row r="435" spans="1:20" ht="15.75">
      <c r="A435" s="21">
        <v>30</v>
      </c>
      <c r="B435" s="39" t="s">
        <v>21</v>
      </c>
      <c r="C435" s="40" t="s">
        <v>47</v>
      </c>
      <c r="D435" s="55" t="s">
        <v>27</v>
      </c>
      <c r="E435" s="24">
        <v>3.99</v>
      </c>
      <c r="F435" s="24"/>
      <c r="G435" s="14"/>
      <c r="H435" s="10"/>
      <c r="I435" s="48"/>
      <c r="J435" s="49">
        <f t="shared" si="194"/>
        <v>1.1970000000000001</v>
      </c>
      <c r="K435" s="50">
        <f t="shared" si="195"/>
        <v>5.1870000000000003</v>
      </c>
      <c r="L435" s="51">
        <f t="shared" si="196"/>
        <v>7728630</v>
      </c>
      <c r="M435" s="53"/>
      <c r="N435" s="58"/>
      <c r="O435" s="51">
        <f t="shared" si="197"/>
        <v>7728630</v>
      </c>
      <c r="P435" s="53">
        <f t="shared" si="186"/>
        <v>624235.5</v>
      </c>
      <c r="Q435" s="54"/>
      <c r="R435" s="53">
        <f t="shared" si="173"/>
        <v>624235.5</v>
      </c>
      <c r="S435" s="76">
        <f t="shared" si="193"/>
        <v>7104394.5</v>
      </c>
      <c r="T435" s="41"/>
    </row>
    <row r="436" spans="1:20" ht="15.75">
      <c r="A436" s="21">
        <v>31</v>
      </c>
      <c r="B436" s="39" t="s">
        <v>21</v>
      </c>
      <c r="C436" s="40" t="s">
        <v>48</v>
      </c>
      <c r="D436" s="55" t="s">
        <v>27</v>
      </c>
      <c r="E436" s="24">
        <v>3.66</v>
      </c>
      <c r="F436" s="24"/>
      <c r="G436" s="14"/>
      <c r="H436" s="10"/>
      <c r="I436" s="48"/>
      <c r="J436" s="49">
        <f>30/100*(E436+F436+G436)</f>
        <v>1.0980000000000001</v>
      </c>
      <c r="K436" s="50">
        <f t="shared" si="195"/>
        <v>4.758</v>
      </c>
      <c r="L436" s="51">
        <f t="shared" si="196"/>
        <v>7089420</v>
      </c>
      <c r="M436" s="53"/>
      <c r="N436" s="58"/>
      <c r="O436" s="51">
        <f t="shared" si="197"/>
        <v>7089420</v>
      </c>
      <c r="P436" s="53">
        <f t="shared" si="186"/>
        <v>572607</v>
      </c>
      <c r="Q436" s="54"/>
      <c r="R436" s="53">
        <f t="shared" si="173"/>
        <v>572607</v>
      </c>
      <c r="S436" s="76">
        <f>O436-R436</f>
        <v>6516813</v>
      </c>
      <c r="T436" s="41"/>
    </row>
    <row r="437" spans="1:20" ht="15.75">
      <c r="A437" s="21">
        <v>32</v>
      </c>
      <c r="B437" s="39" t="s">
        <v>21</v>
      </c>
      <c r="C437" s="40" t="s">
        <v>92</v>
      </c>
      <c r="D437" s="55" t="s">
        <v>27</v>
      </c>
      <c r="E437" s="24">
        <v>3.33</v>
      </c>
      <c r="F437" s="24"/>
      <c r="G437" s="14"/>
      <c r="H437" s="10"/>
      <c r="I437" s="48"/>
      <c r="J437" s="49">
        <f>30/100*(E437+F437+G437)</f>
        <v>0.999</v>
      </c>
      <c r="K437" s="50">
        <f>E437+F437+G437+H437+I437+J437</f>
        <v>4.3289999999999997</v>
      </c>
      <c r="L437" s="51">
        <f t="shared" si="196"/>
        <v>6450210</v>
      </c>
      <c r="M437" s="53"/>
      <c r="N437" s="53"/>
      <c r="O437" s="51">
        <f t="shared" si="197"/>
        <v>6450210</v>
      </c>
      <c r="P437" s="53">
        <f>((E437+F437+G437+I437)*1490000)*10.5%</f>
        <v>520978.5</v>
      </c>
      <c r="Q437" s="54"/>
      <c r="R437" s="53">
        <f t="shared" si="173"/>
        <v>520978.5</v>
      </c>
      <c r="S437" s="76">
        <f t="shared" ref="S437:S438" si="198">O437-R437</f>
        <v>5929231.5</v>
      </c>
      <c r="T437" s="41"/>
    </row>
    <row r="438" spans="1:20" ht="15.75">
      <c r="A438" s="21">
        <v>33</v>
      </c>
      <c r="B438" s="39" t="s">
        <v>21</v>
      </c>
      <c r="C438" s="40" t="s">
        <v>93</v>
      </c>
      <c r="D438" s="55" t="s">
        <v>27</v>
      </c>
      <c r="E438" s="24">
        <v>3.66</v>
      </c>
      <c r="F438" s="24"/>
      <c r="G438" s="14"/>
      <c r="H438" s="10"/>
      <c r="I438" s="48"/>
      <c r="J438" s="49">
        <f>30/100*(E438+F438+G438)</f>
        <v>1.0980000000000001</v>
      </c>
      <c r="K438" s="50">
        <f>E438+F438+G438+H438+I438+J438</f>
        <v>4.758</v>
      </c>
      <c r="L438" s="51">
        <f t="shared" si="196"/>
        <v>7089420</v>
      </c>
      <c r="M438" s="53"/>
      <c r="N438" s="53"/>
      <c r="O438" s="51">
        <f t="shared" si="197"/>
        <v>7089420</v>
      </c>
      <c r="P438" s="53">
        <f>((E438+F438+G438+I438)*1490000)*10.5%</f>
        <v>572607</v>
      </c>
      <c r="Q438" s="54"/>
      <c r="R438" s="53">
        <f t="shared" si="173"/>
        <v>572607</v>
      </c>
      <c r="S438" s="76">
        <f t="shared" si="198"/>
        <v>6516813</v>
      </c>
      <c r="T438" s="41"/>
    </row>
    <row r="439" spans="1:20" ht="15.75">
      <c r="A439" s="21">
        <v>34</v>
      </c>
      <c r="B439" s="39" t="s">
        <v>94</v>
      </c>
      <c r="C439" s="42" t="s">
        <v>95</v>
      </c>
      <c r="D439" s="77" t="s">
        <v>27</v>
      </c>
      <c r="E439" s="24">
        <v>3</v>
      </c>
      <c r="F439" s="24"/>
      <c r="G439" s="14"/>
      <c r="H439" s="11"/>
      <c r="I439" s="48"/>
      <c r="J439" s="49">
        <f>30/100*(E439+F439+G439)</f>
        <v>0.89999999999999991</v>
      </c>
      <c r="K439" s="50">
        <f>E439+F439+G439+H439+I439+J439</f>
        <v>3.9</v>
      </c>
      <c r="L439" s="51">
        <f>K439*1490000</f>
        <v>5811000</v>
      </c>
      <c r="M439" s="65"/>
      <c r="N439" s="65"/>
      <c r="O439" s="51">
        <f t="shared" si="197"/>
        <v>5811000</v>
      </c>
      <c r="P439" s="53">
        <f t="shared" ref="P439:P440" si="199">((E439+F439+G439+I439)*1490000-M439)*10.5%</f>
        <v>469350</v>
      </c>
      <c r="Q439" s="54"/>
      <c r="R439" s="53">
        <f t="shared" si="173"/>
        <v>469350</v>
      </c>
      <c r="S439" s="76">
        <f>O439-R439-N439</f>
        <v>5341650</v>
      </c>
      <c r="T439" s="41"/>
    </row>
    <row r="440" spans="1:20">
      <c r="A440" s="21">
        <v>35</v>
      </c>
      <c r="B440" s="39" t="s">
        <v>23</v>
      </c>
      <c r="C440" s="40" t="s">
        <v>49</v>
      </c>
      <c r="D440" s="55" t="s">
        <v>45</v>
      </c>
      <c r="E440" s="24">
        <v>3.34</v>
      </c>
      <c r="F440" s="24"/>
      <c r="G440" s="14"/>
      <c r="H440" s="24">
        <v>0.2</v>
      </c>
      <c r="I440" s="48"/>
      <c r="J440" s="49"/>
      <c r="K440" s="50">
        <f t="shared" ref="K440" si="200">E440+F440+G440+H440+I440+J440</f>
        <v>3.54</v>
      </c>
      <c r="L440" s="51">
        <f t="shared" ref="L440" si="201">K440*1490000</f>
        <v>5274600</v>
      </c>
      <c r="M440" s="53"/>
      <c r="N440" s="58"/>
      <c r="O440" s="51">
        <f t="shared" si="197"/>
        <v>5274600</v>
      </c>
      <c r="P440" s="53">
        <f t="shared" si="199"/>
        <v>522543</v>
      </c>
      <c r="Q440" s="54"/>
      <c r="R440" s="53">
        <f t="shared" si="173"/>
        <v>522543</v>
      </c>
      <c r="S440" s="76">
        <f>O440-R440</f>
        <v>4752057</v>
      </c>
      <c r="T440" s="41"/>
    </row>
    <row r="441" spans="1:20">
      <c r="A441" s="21">
        <v>36</v>
      </c>
      <c r="B441" s="39" t="s">
        <v>52</v>
      </c>
      <c r="C441" s="40" t="s">
        <v>50</v>
      </c>
      <c r="D441" s="77" t="s">
        <v>45</v>
      </c>
      <c r="E441" s="24">
        <v>2.86</v>
      </c>
      <c r="F441" s="24"/>
      <c r="G441" s="14"/>
      <c r="H441" s="24">
        <v>0.2</v>
      </c>
      <c r="I441" s="48"/>
      <c r="J441" s="49"/>
      <c r="K441" s="50">
        <f>E441+F441+G441+H441+I441+J441</f>
        <v>3.06</v>
      </c>
      <c r="L441" s="51">
        <f>K441*1490000</f>
        <v>4559400</v>
      </c>
      <c r="M441" s="53"/>
      <c r="N441" s="51"/>
      <c r="O441" s="51">
        <f t="shared" si="197"/>
        <v>4559400</v>
      </c>
      <c r="P441" s="53">
        <f>((E441+F441+G441+I441)*1490000)*10.5%</f>
        <v>447447</v>
      </c>
      <c r="Q441" s="53"/>
      <c r="R441" s="53">
        <f t="shared" si="173"/>
        <v>447447</v>
      </c>
      <c r="S441" s="76">
        <f>O441-R441</f>
        <v>4111953</v>
      </c>
      <c r="T441" s="41"/>
    </row>
    <row r="442" spans="1:20" ht="15.75">
      <c r="A442" s="21">
        <v>37</v>
      </c>
      <c r="B442" s="39" t="s">
        <v>54</v>
      </c>
      <c r="C442" s="40" t="s">
        <v>51</v>
      </c>
      <c r="D442" s="77" t="s">
        <v>96</v>
      </c>
      <c r="E442" s="24"/>
      <c r="F442" s="24"/>
      <c r="G442" s="14"/>
      <c r="H442" s="11"/>
      <c r="I442" s="48"/>
      <c r="J442" s="49"/>
      <c r="K442" s="50"/>
      <c r="L442" s="51">
        <v>3920000</v>
      </c>
      <c r="M442" s="53"/>
      <c r="N442" s="58"/>
      <c r="O442" s="51">
        <f t="shared" si="197"/>
        <v>3920000</v>
      </c>
      <c r="P442" s="53">
        <f>O442*10.5%</f>
        <v>411600</v>
      </c>
      <c r="Q442" s="53"/>
      <c r="R442" s="53">
        <f t="shared" si="173"/>
        <v>411600</v>
      </c>
      <c r="S442" s="76">
        <f>O442-R442</f>
        <v>3508400</v>
      </c>
      <c r="T442" s="2"/>
    </row>
    <row r="443" spans="1:20" ht="15.75">
      <c r="A443" s="2"/>
      <c r="B443" s="2"/>
      <c r="C443" s="3" t="s">
        <v>14</v>
      </c>
      <c r="D443" s="5"/>
      <c r="E443" s="27">
        <f t="shared" ref="E443" si="202">SUM(E406:E442)</f>
        <v>150.35999999999996</v>
      </c>
      <c r="F443" s="78">
        <f>SUM(F406:F442)</f>
        <v>2.1999999999999997</v>
      </c>
      <c r="G443" s="27">
        <f>SUM(G406:G442)</f>
        <v>0.94620000000000015</v>
      </c>
      <c r="H443" s="78">
        <f>SUM(H406:H442)</f>
        <v>0.60000000000000009</v>
      </c>
      <c r="I443" s="27">
        <f>SUM(I406:I442)</f>
        <v>0</v>
      </c>
      <c r="J443" s="27">
        <f t="shared" ref="J443" si="203">SUM(J406:J442)</f>
        <v>41.767860000000006</v>
      </c>
      <c r="K443" s="27">
        <f>SUM(K406:K442)</f>
        <v>195.8740600000001</v>
      </c>
      <c r="L443" s="28">
        <f t="shared" ref="L443:O443" si="204">SUM(L406:L442)</f>
        <v>295772349.39999998</v>
      </c>
      <c r="M443" s="75">
        <f t="shared" si="204"/>
        <v>1034403.8461538461</v>
      </c>
      <c r="N443" s="75">
        <f t="shared" si="204"/>
        <v>0</v>
      </c>
      <c r="O443" s="28">
        <f t="shared" si="204"/>
        <v>294737945.55384612</v>
      </c>
      <c r="P443" s="28">
        <f>SUM(P406:P442)</f>
        <v>24239019.58615385</v>
      </c>
      <c r="Q443" s="28">
        <f>SUM(Q406:Q442)</f>
        <v>0</v>
      </c>
      <c r="R443" s="28">
        <f t="shared" ref="R443" si="205">SUM(R406:R442)</f>
        <v>24239019.58615385</v>
      </c>
      <c r="S443" s="32">
        <f>SUM(S406:S442)</f>
        <v>270498925.96769232</v>
      </c>
      <c r="T443" s="2"/>
    </row>
    <row r="444" spans="1:20">
      <c r="E444" s="9"/>
      <c r="F444" s="9"/>
      <c r="G444" s="9"/>
      <c r="H444" s="9"/>
      <c r="I444" s="19"/>
      <c r="J444" s="17"/>
    </row>
    <row r="445" spans="1:20">
      <c r="A445" s="1" t="s">
        <v>100</v>
      </c>
      <c r="D445" s="210" t="s">
        <v>259</v>
      </c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</row>
    <row r="446" spans="1:20" ht="15.75">
      <c r="A446" s="6"/>
      <c r="E446" s="9"/>
      <c r="F446" s="9"/>
      <c r="G446" s="9"/>
      <c r="H446" s="9"/>
      <c r="I446" s="19"/>
      <c r="J446" s="17"/>
      <c r="S446" s="15"/>
    </row>
    <row r="447" spans="1:20">
      <c r="A447" s="7"/>
      <c r="B447" s="7"/>
      <c r="C447" s="129"/>
      <c r="D447" s="211"/>
      <c r="E447" s="212"/>
      <c r="F447" s="212"/>
      <c r="G447" s="37"/>
      <c r="H447" s="37"/>
      <c r="I447" s="19"/>
      <c r="J447" s="17"/>
      <c r="N447" s="43"/>
      <c r="O447" s="43"/>
      <c r="P447" s="213" t="s">
        <v>252</v>
      </c>
      <c r="Q447" s="213"/>
      <c r="R447" s="213"/>
      <c r="S447" s="213"/>
    </row>
    <row r="448" spans="1:20">
      <c r="A448" s="214" t="s">
        <v>77</v>
      </c>
      <c r="B448" s="214"/>
      <c r="C448" s="214"/>
      <c r="D448" s="214"/>
      <c r="E448" s="214"/>
      <c r="F448" s="9"/>
      <c r="G448" s="44"/>
      <c r="H448" s="44"/>
      <c r="I448" s="19"/>
      <c r="J448" s="214" t="s">
        <v>79</v>
      </c>
      <c r="K448" s="214"/>
      <c r="L448" s="214"/>
      <c r="M448" s="214"/>
      <c r="P448" s="215" t="s">
        <v>65</v>
      </c>
      <c r="Q448" s="215"/>
      <c r="R448" s="215"/>
      <c r="S448" s="215"/>
    </row>
    <row r="449" spans="1:20">
      <c r="A449" s="216" t="s">
        <v>78</v>
      </c>
      <c r="B449" s="216"/>
      <c r="C449" s="216"/>
      <c r="D449" s="216"/>
      <c r="E449" s="9"/>
      <c r="F449" s="9"/>
      <c r="G449" s="9"/>
      <c r="H449" s="9"/>
      <c r="I449" s="19"/>
      <c r="J449" s="216" t="s">
        <v>80</v>
      </c>
      <c r="K449" s="216"/>
      <c r="L449" s="216"/>
      <c r="P449" s="217" t="s">
        <v>66</v>
      </c>
      <c r="Q449" s="217"/>
      <c r="R449" s="217"/>
      <c r="S449" s="217"/>
    </row>
    <row r="450" spans="1:20">
      <c r="E450" s="9"/>
      <c r="F450" s="9"/>
      <c r="G450" s="9"/>
      <c r="H450" s="9"/>
      <c r="I450" s="19"/>
      <c r="J450" s="17"/>
    </row>
    <row r="451" spans="1:20">
      <c r="B451" s="152"/>
      <c r="C451" s="79"/>
      <c r="D451" s="152"/>
      <c r="E451" s="9"/>
      <c r="F451" s="9"/>
      <c r="G451" s="9"/>
      <c r="H451" s="9"/>
      <c r="I451" s="19"/>
      <c r="J451" s="17"/>
    </row>
    <row r="452" spans="1:20" ht="15.75">
      <c r="B452" s="152"/>
      <c r="C452" s="153"/>
      <c r="D452" s="152"/>
      <c r="E452" s="9"/>
      <c r="F452" s="9"/>
      <c r="G452" s="9"/>
      <c r="H452" s="9"/>
      <c r="I452" s="19"/>
      <c r="J452" s="17"/>
      <c r="L452" s="12"/>
      <c r="P452" s="16"/>
    </row>
    <row r="453" spans="1:20" ht="15.75">
      <c r="B453" s="152"/>
      <c r="C453" s="153"/>
      <c r="D453" s="152"/>
      <c r="E453" s="9"/>
      <c r="F453" s="9"/>
      <c r="G453" s="9"/>
      <c r="H453" s="9"/>
      <c r="I453" s="19"/>
      <c r="J453" s="17"/>
    </row>
    <row r="454" spans="1:20" ht="15.75">
      <c r="B454" s="208" t="s">
        <v>267</v>
      </c>
      <c r="C454" s="208"/>
      <c r="D454" s="208"/>
      <c r="E454" s="9"/>
      <c r="F454" s="9"/>
      <c r="G454" s="9"/>
      <c r="H454" s="9"/>
      <c r="I454" s="19"/>
      <c r="J454" s="209" t="s">
        <v>59</v>
      </c>
      <c r="K454" s="209"/>
      <c r="L454" s="209"/>
      <c r="M454" s="209"/>
      <c r="P454" s="209" t="s">
        <v>81</v>
      </c>
      <c r="Q454" s="209"/>
      <c r="R454" s="209"/>
      <c r="S454" s="209"/>
    </row>
    <row r="457" spans="1:20" ht="15.75">
      <c r="A457" s="227" t="s">
        <v>55</v>
      </c>
      <c r="B457" s="227"/>
      <c r="C457" s="227"/>
      <c r="D457" s="227"/>
      <c r="E457" s="227"/>
      <c r="F457" s="227"/>
      <c r="G457" s="227"/>
      <c r="H457" s="227"/>
      <c r="I457" s="19"/>
      <c r="J457" s="17"/>
      <c r="Q457" s="228" t="s">
        <v>300</v>
      </c>
      <c r="R457" s="228"/>
      <c r="S457" s="228"/>
    </row>
    <row r="458" spans="1:20">
      <c r="A458" s="229" t="s">
        <v>67</v>
      </c>
      <c r="B458" s="229"/>
      <c r="C458" s="229"/>
      <c r="D458" s="229"/>
      <c r="E458" s="229"/>
      <c r="F458" s="229"/>
      <c r="G458" s="229"/>
      <c r="H458" s="9"/>
      <c r="I458" s="19"/>
      <c r="J458" s="17"/>
      <c r="R458" s="230" t="s">
        <v>68</v>
      </c>
      <c r="S458" s="230"/>
    </row>
    <row r="459" spans="1:20" ht="15.75">
      <c r="A459" s="227" t="s">
        <v>56</v>
      </c>
      <c r="B459" s="227"/>
      <c r="C459" s="227"/>
      <c r="D459" s="227"/>
      <c r="E459" s="227"/>
      <c r="F459" s="227"/>
      <c r="G459" s="227"/>
      <c r="H459" s="9"/>
      <c r="I459" s="19"/>
      <c r="J459" s="17"/>
      <c r="R459" s="29" t="s">
        <v>63</v>
      </c>
    </row>
    <row r="460" spans="1:20" ht="20.25">
      <c r="A460" s="231" t="s">
        <v>76</v>
      </c>
      <c r="B460" s="231"/>
      <c r="C460" s="231"/>
      <c r="D460" s="231"/>
      <c r="E460" s="231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</row>
    <row r="461" spans="1:20" ht="18.75">
      <c r="A461" s="232" t="s">
        <v>289</v>
      </c>
      <c r="B461" s="232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</row>
    <row r="462" spans="1:20">
      <c r="A462" s="225" t="s">
        <v>0</v>
      </c>
      <c r="B462" s="226" t="s">
        <v>1</v>
      </c>
      <c r="C462" s="226" t="s">
        <v>2</v>
      </c>
      <c r="D462" s="226" t="s">
        <v>3</v>
      </c>
      <c r="E462" s="226" t="s">
        <v>20</v>
      </c>
      <c r="F462" s="226"/>
      <c r="G462" s="226"/>
      <c r="H462" s="226"/>
      <c r="I462" s="226"/>
      <c r="J462" s="226"/>
      <c r="K462" s="226"/>
      <c r="L462" s="226"/>
      <c r="M462" s="233" t="s">
        <v>9</v>
      </c>
      <c r="N462" s="233" t="s">
        <v>11</v>
      </c>
      <c r="O462" s="226" t="s">
        <v>12</v>
      </c>
      <c r="P462" s="234" t="s">
        <v>13</v>
      </c>
      <c r="Q462" s="235"/>
      <c r="R462" s="236"/>
      <c r="S462" s="226" t="s">
        <v>15</v>
      </c>
      <c r="T462" s="218" t="s">
        <v>57</v>
      </c>
    </row>
    <row r="463" spans="1:20">
      <c r="A463" s="225"/>
      <c r="B463" s="226"/>
      <c r="C463" s="226"/>
      <c r="D463" s="226"/>
      <c r="E463" s="221" t="s">
        <v>4</v>
      </c>
      <c r="F463" s="222" t="s">
        <v>5</v>
      </c>
      <c r="G463" s="223" t="s">
        <v>6</v>
      </c>
      <c r="H463" s="223"/>
      <c r="I463" s="223"/>
      <c r="J463" s="223"/>
      <c r="K463" s="224" t="s">
        <v>7</v>
      </c>
      <c r="L463" s="224" t="s">
        <v>8</v>
      </c>
      <c r="M463" s="233"/>
      <c r="N463" s="233"/>
      <c r="O463" s="226"/>
      <c r="P463" s="225" t="s">
        <v>10</v>
      </c>
      <c r="Q463" s="226" t="s">
        <v>85</v>
      </c>
      <c r="R463" s="225" t="s">
        <v>14</v>
      </c>
      <c r="S463" s="226"/>
      <c r="T463" s="219"/>
    </row>
    <row r="464" spans="1:20" ht="42">
      <c r="A464" s="225"/>
      <c r="B464" s="226"/>
      <c r="C464" s="226"/>
      <c r="D464" s="226"/>
      <c r="E464" s="221"/>
      <c r="F464" s="222"/>
      <c r="G464" s="187" t="s">
        <v>26</v>
      </c>
      <c r="H464" s="187" t="s">
        <v>86</v>
      </c>
      <c r="I464" s="20" t="s">
        <v>24</v>
      </c>
      <c r="J464" s="18" t="s">
        <v>25</v>
      </c>
      <c r="K464" s="224"/>
      <c r="L464" s="224"/>
      <c r="M464" s="233"/>
      <c r="N464" s="233"/>
      <c r="O464" s="226"/>
      <c r="P464" s="225"/>
      <c r="Q464" s="226"/>
      <c r="R464" s="225"/>
      <c r="S464" s="226"/>
      <c r="T464" s="220"/>
    </row>
    <row r="465" spans="1:20">
      <c r="A465" s="4" t="s">
        <v>16</v>
      </c>
      <c r="B465" s="4" t="s">
        <v>17</v>
      </c>
      <c r="C465" s="4" t="s">
        <v>18</v>
      </c>
      <c r="D465" s="4" t="s">
        <v>19</v>
      </c>
      <c r="E465" s="13">
        <v>1</v>
      </c>
      <c r="F465" s="13">
        <v>2</v>
      </c>
      <c r="G465" s="13">
        <v>3</v>
      </c>
      <c r="H465" s="13">
        <v>4</v>
      </c>
      <c r="I465" s="13">
        <v>5</v>
      </c>
      <c r="J465" s="23">
        <v>6</v>
      </c>
      <c r="K465" s="4">
        <v>7</v>
      </c>
      <c r="L465" s="4">
        <v>8</v>
      </c>
      <c r="M465" s="4">
        <v>9</v>
      </c>
      <c r="N465" s="4">
        <v>10</v>
      </c>
      <c r="O465" s="30" t="s">
        <v>87</v>
      </c>
      <c r="P465" s="30">
        <v>12</v>
      </c>
      <c r="Q465" s="30">
        <v>13</v>
      </c>
      <c r="R465" s="30">
        <v>14</v>
      </c>
      <c r="S465" s="30" t="s">
        <v>88</v>
      </c>
      <c r="T465" s="2"/>
    </row>
    <row r="466" spans="1:20">
      <c r="A466" s="21">
        <v>1</v>
      </c>
      <c r="B466" s="39" t="s">
        <v>89</v>
      </c>
      <c r="C466" s="42" t="s">
        <v>60</v>
      </c>
      <c r="D466" s="46" t="s">
        <v>61</v>
      </c>
      <c r="E466" s="47">
        <v>5.0199999999999996</v>
      </c>
      <c r="F466" s="47">
        <v>0.35</v>
      </c>
      <c r="G466" s="25"/>
      <c r="H466" s="22"/>
      <c r="I466" s="48"/>
      <c r="J466" s="49">
        <f>30/100*(E466+F466+G466)</f>
        <v>1.6109999999999998</v>
      </c>
      <c r="K466" s="50">
        <f>E466+F466+G466+H466+I466+J466</f>
        <v>6.980999999999999</v>
      </c>
      <c r="L466" s="51">
        <f>K466*1490000</f>
        <v>10401689.999999998</v>
      </c>
      <c r="M466" s="52"/>
      <c r="N466" s="52"/>
      <c r="O466" s="51">
        <f>L466-M466+N466</f>
        <v>10401689.999999998</v>
      </c>
      <c r="P466" s="53">
        <f>((E466+F466+G466+I466)*1490000-M466)*9.5%</f>
        <v>760123.49999999988</v>
      </c>
      <c r="Q466" s="54"/>
      <c r="R466" s="53">
        <f>P466+Q466</f>
        <v>760123.49999999988</v>
      </c>
      <c r="S466" s="53">
        <f>O466-R466</f>
        <v>9641566.4999999981</v>
      </c>
      <c r="T466" s="41"/>
    </row>
    <row r="467" spans="1:20" ht="15.75">
      <c r="A467" s="21">
        <v>2</v>
      </c>
      <c r="B467" s="39" t="s">
        <v>21</v>
      </c>
      <c r="C467" s="40" t="s">
        <v>28</v>
      </c>
      <c r="D467" s="55" t="s">
        <v>27</v>
      </c>
      <c r="E467" s="24">
        <v>4.9800000000000004</v>
      </c>
      <c r="F467" s="56"/>
      <c r="G467" s="57">
        <f>E467*7%</f>
        <v>0.34860000000000008</v>
      </c>
      <c r="H467" s="10"/>
      <c r="I467" s="48"/>
      <c r="J467" s="49">
        <f>30/100*(E467+F467+G467)</f>
        <v>1.5985800000000001</v>
      </c>
      <c r="K467" s="50">
        <f>E467+F467+G467+H467+I467+J467</f>
        <v>6.9271800000000008</v>
      </c>
      <c r="L467" s="51">
        <f>K467*1490000</f>
        <v>10321498.200000001</v>
      </c>
      <c r="M467" s="58"/>
      <c r="N467" s="58"/>
      <c r="O467" s="51">
        <f>L467-M467+N467</f>
        <v>10321498.200000001</v>
      </c>
      <c r="P467" s="53">
        <f>((E467+F467+G467+I467)*1490000-M467)*10.5%</f>
        <v>833659.47000000009</v>
      </c>
      <c r="Q467" s="54"/>
      <c r="R467" s="53">
        <f t="shared" ref="R467:R502" si="206">P467+Q467</f>
        <v>833659.47000000009</v>
      </c>
      <c r="S467" s="53">
        <f t="shared" ref="S467" si="207">O467-R467</f>
        <v>9487838.7300000004</v>
      </c>
      <c r="T467" s="59">
        <v>7.0000000000000007E-2</v>
      </c>
    </row>
    <row r="468" spans="1:20" ht="15.75">
      <c r="A468" s="21">
        <v>3</v>
      </c>
      <c r="B468" s="39" t="s">
        <v>22</v>
      </c>
      <c r="C468" s="40" t="s">
        <v>30</v>
      </c>
      <c r="D468" s="55" t="s">
        <v>90</v>
      </c>
      <c r="E468" s="24">
        <v>4.8899999999999997</v>
      </c>
      <c r="F468" s="47">
        <v>0.15</v>
      </c>
      <c r="G468" s="57"/>
      <c r="H468" s="10"/>
      <c r="I468" s="48"/>
      <c r="J468" s="49">
        <f>30/100*(E468+F468+G468)</f>
        <v>1.512</v>
      </c>
      <c r="K468" s="50">
        <f t="shared" ref="K468:K492" si="208">E468+F468+G468+H468+I468+J468</f>
        <v>6.5519999999999996</v>
      </c>
      <c r="L468" s="51">
        <f t="shared" ref="L468:L492" si="209">K468*1490000</f>
        <v>9762480</v>
      </c>
      <c r="M468" s="58"/>
      <c r="N468" s="58"/>
      <c r="O468" s="51">
        <f t="shared" ref="O468:O485" si="210">L468-M468+N468</f>
        <v>9762480</v>
      </c>
      <c r="P468" s="53">
        <f t="shared" ref="P468:P472" si="211">((E468+F468+G468+I468)*1490000-M468)*10.5%</f>
        <v>788508</v>
      </c>
      <c r="Q468" s="54"/>
      <c r="R468" s="53">
        <f t="shared" si="206"/>
        <v>788508</v>
      </c>
      <c r="S468" s="53">
        <f>O468-R468</f>
        <v>8973972</v>
      </c>
      <c r="T468" s="2"/>
    </row>
    <row r="469" spans="1:20" ht="15.75">
      <c r="A469" s="21">
        <v>4</v>
      </c>
      <c r="B469" s="39" t="s">
        <v>21</v>
      </c>
      <c r="C469" s="40" t="s">
        <v>32</v>
      </c>
      <c r="D469" s="55" t="s">
        <v>29</v>
      </c>
      <c r="E469" s="24">
        <v>4.9800000000000004</v>
      </c>
      <c r="F469" s="47">
        <v>0.2</v>
      </c>
      <c r="G469" s="57">
        <f>E469*5%</f>
        <v>0.24900000000000003</v>
      </c>
      <c r="H469" s="10"/>
      <c r="I469" s="48"/>
      <c r="J469" s="49">
        <f t="shared" ref="J469" si="212">30/100*(E469+F469+G469)</f>
        <v>1.6287</v>
      </c>
      <c r="K469" s="50">
        <f t="shared" si="208"/>
        <v>7.0577000000000005</v>
      </c>
      <c r="L469" s="51">
        <f t="shared" si="209"/>
        <v>10515973</v>
      </c>
      <c r="M469" s="58"/>
      <c r="N469" s="58"/>
      <c r="O469" s="51">
        <f t="shared" si="210"/>
        <v>10515973</v>
      </c>
      <c r="P469" s="53">
        <f t="shared" si="211"/>
        <v>849367.04999999993</v>
      </c>
      <c r="Q469" s="54"/>
      <c r="R469" s="53">
        <f t="shared" si="206"/>
        <v>849367.04999999993</v>
      </c>
      <c r="S469" s="53">
        <f t="shared" ref="S469" si="213">O469-R469</f>
        <v>9666605.9499999993</v>
      </c>
      <c r="T469" s="59">
        <v>0.05</v>
      </c>
    </row>
    <row r="470" spans="1:20" ht="15.75">
      <c r="A470" s="21">
        <v>5</v>
      </c>
      <c r="B470" s="39" t="s">
        <v>21</v>
      </c>
      <c r="C470" s="40" t="s">
        <v>82</v>
      </c>
      <c r="D470" s="55" t="s">
        <v>29</v>
      </c>
      <c r="E470" s="24">
        <v>4.9800000000000004</v>
      </c>
      <c r="F470" s="47">
        <v>0.2</v>
      </c>
      <c r="G470" s="57">
        <f>E470*7%</f>
        <v>0.34860000000000008</v>
      </c>
      <c r="H470" s="10"/>
      <c r="I470" s="48"/>
      <c r="J470" s="49">
        <f>30/100*(E470+F470+G470)</f>
        <v>1.6585800000000002</v>
      </c>
      <c r="K470" s="50">
        <f t="shared" si="208"/>
        <v>7.1871800000000015</v>
      </c>
      <c r="L470" s="51">
        <f t="shared" si="209"/>
        <v>10708898.200000003</v>
      </c>
      <c r="M470" s="58"/>
      <c r="N470" s="58"/>
      <c r="O470" s="51">
        <f t="shared" si="210"/>
        <v>10708898.200000003</v>
      </c>
      <c r="P470" s="53">
        <f t="shared" si="211"/>
        <v>864949.47000000009</v>
      </c>
      <c r="Q470" s="54"/>
      <c r="R470" s="53">
        <f t="shared" si="206"/>
        <v>864949.47000000009</v>
      </c>
      <c r="S470" s="53">
        <f>O470-R470</f>
        <v>9843948.7300000023</v>
      </c>
      <c r="T470" s="59">
        <v>7.0000000000000007E-2</v>
      </c>
    </row>
    <row r="471" spans="1:20" ht="15.75">
      <c r="A471" s="21">
        <v>6</v>
      </c>
      <c r="B471" s="39" t="s">
        <v>21</v>
      </c>
      <c r="C471" s="40" t="s">
        <v>84</v>
      </c>
      <c r="D471" s="55" t="s">
        <v>62</v>
      </c>
      <c r="E471" s="24">
        <v>4.9800000000000004</v>
      </c>
      <c r="F471" s="47">
        <v>0.25</v>
      </c>
      <c r="G471" s="14"/>
      <c r="H471" s="10"/>
      <c r="I471" s="48"/>
      <c r="J471" s="49">
        <f t="shared" ref="J471" si="214">30/100*(E471+F471+G471)</f>
        <v>1.5690000000000002</v>
      </c>
      <c r="K471" s="50">
        <f t="shared" si="208"/>
        <v>6.7990000000000004</v>
      </c>
      <c r="L471" s="51">
        <f t="shared" si="209"/>
        <v>10130510</v>
      </c>
      <c r="M471" s="58"/>
      <c r="N471" s="58"/>
      <c r="O471" s="51">
        <f t="shared" si="210"/>
        <v>10130510</v>
      </c>
      <c r="P471" s="53">
        <f t="shared" si="211"/>
        <v>818233.50000000012</v>
      </c>
      <c r="Q471" s="54"/>
      <c r="R471" s="53">
        <f t="shared" si="206"/>
        <v>818233.50000000012</v>
      </c>
      <c r="S471" s="53">
        <f t="shared" ref="S471" si="215">O471-R471</f>
        <v>9312276.5</v>
      </c>
      <c r="T471" s="41"/>
    </row>
    <row r="472" spans="1:20" ht="15.75">
      <c r="A472" s="21">
        <v>7</v>
      </c>
      <c r="B472" s="39" t="s">
        <v>22</v>
      </c>
      <c r="C472" s="42" t="s">
        <v>31</v>
      </c>
      <c r="D472" s="55" t="s">
        <v>27</v>
      </c>
      <c r="E472" s="24">
        <v>4.8899999999999997</v>
      </c>
      <c r="F472" s="47"/>
      <c r="G472" s="57"/>
      <c r="H472" s="10"/>
      <c r="I472" s="48"/>
      <c r="J472" s="49">
        <f>30/100*(E472+F472+G472)</f>
        <v>1.4669999999999999</v>
      </c>
      <c r="K472" s="50">
        <f t="shared" si="208"/>
        <v>6.3569999999999993</v>
      </c>
      <c r="L472" s="51">
        <f t="shared" si="209"/>
        <v>9471929.9999999981</v>
      </c>
      <c r="M472" s="58"/>
      <c r="N472" s="58"/>
      <c r="O472" s="51">
        <f t="shared" si="210"/>
        <v>9471929.9999999981</v>
      </c>
      <c r="P472" s="53">
        <f t="shared" si="211"/>
        <v>765040.49999999988</v>
      </c>
      <c r="Q472" s="54"/>
      <c r="R472" s="53">
        <f t="shared" si="206"/>
        <v>765040.49999999988</v>
      </c>
      <c r="S472" s="53">
        <f>O472-R472</f>
        <v>8706889.4999999981</v>
      </c>
      <c r="T472" s="41"/>
    </row>
    <row r="473" spans="1:20" ht="15.75">
      <c r="A473" s="21">
        <v>8</v>
      </c>
      <c r="B473" s="39" t="s">
        <v>21</v>
      </c>
      <c r="C473" s="26" t="s">
        <v>70</v>
      </c>
      <c r="D473" s="55" t="s">
        <v>27</v>
      </c>
      <c r="E473" s="24">
        <v>4.9800000000000004</v>
      </c>
      <c r="F473" s="47"/>
      <c r="G473" s="14"/>
      <c r="H473" s="10"/>
      <c r="I473" s="48"/>
      <c r="J473" s="49">
        <f t="shared" ref="J473:J475" si="216">30/100*(E473+F473+G473)</f>
        <v>1.494</v>
      </c>
      <c r="K473" s="50">
        <f t="shared" si="208"/>
        <v>6.4740000000000002</v>
      </c>
      <c r="L473" s="51">
        <f t="shared" si="209"/>
        <v>9646260</v>
      </c>
      <c r="M473" s="58"/>
      <c r="N473" s="58"/>
      <c r="O473" s="51">
        <f t="shared" si="210"/>
        <v>9646260</v>
      </c>
      <c r="P473" s="53">
        <f>((E473+F473+G473+I473)*1490000-M473)*10.5%</f>
        <v>779121.00000000012</v>
      </c>
      <c r="Q473" s="54"/>
      <c r="R473" s="53">
        <f t="shared" si="206"/>
        <v>779121.00000000012</v>
      </c>
      <c r="S473" s="53">
        <f>O473-R473</f>
        <v>8867139</v>
      </c>
      <c r="T473" s="41"/>
    </row>
    <row r="474" spans="1:20" ht="15.75">
      <c r="A474" s="21">
        <v>9</v>
      </c>
      <c r="B474" s="39" t="s">
        <v>21</v>
      </c>
      <c r="C474" s="26" t="s">
        <v>33</v>
      </c>
      <c r="D474" s="55" t="s">
        <v>29</v>
      </c>
      <c r="E474" s="24">
        <v>4.6500000000000004</v>
      </c>
      <c r="F474" s="47">
        <v>0.2</v>
      </c>
      <c r="G474" s="14"/>
      <c r="H474" s="10"/>
      <c r="I474" s="48"/>
      <c r="J474" s="49">
        <f t="shared" si="216"/>
        <v>1.4550000000000001</v>
      </c>
      <c r="K474" s="50">
        <f t="shared" si="208"/>
        <v>6.3050000000000006</v>
      </c>
      <c r="L474" s="51">
        <f t="shared" si="209"/>
        <v>9394450</v>
      </c>
      <c r="M474" s="58"/>
      <c r="N474" s="58"/>
      <c r="O474" s="51">
        <f t="shared" si="210"/>
        <v>9394450</v>
      </c>
      <c r="P474" s="53">
        <f t="shared" ref="P474:P475" si="217">((E474+F474+G474+I474)*1490000-M474)*10.5%</f>
        <v>758782.50000000012</v>
      </c>
      <c r="Q474" s="54"/>
      <c r="R474" s="53">
        <f t="shared" si="206"/>
        <v>758782.50000000012</v>
      </c>
      <c r="S474" s="53">
        <f t="shared" ref="S474:S476" si="218">O474-R474</f>
        <v>8635667.5</v>
      </c>
      <c r="T474" s="41"/>
    </row>
    <row r="475" spans="1:20" ht="15.75">
      <c r="A475" s="21">
        <v>10</v>
      </c>
      <c r="B475" s="39" t="s">
        <v>21</v>
      </c>
      <c r="C475" s="26" t="s">
        <v>34</v>
      </c>
      <c r="D475" s="55" t="s">
        <v>27</v>
      </c>
      <c r="E475" s="24">
        <v>4.32</v>
      </c>
      <c r="F475" s="47"/>
      <c r="G475" s="14"/>
      <c r="H475" s="10"/>
      <c r="I475" s="48"/>
      <c r="J475" s="49">
        <f t="shared" si="216"/>
        <v>1.296</v>
      </c>
      <c r="K475" s="50">
        <f t="shared" si="208"/>
        <v>5.6160000000000005</v>
      </c>
      <c r="L475" s="51">
        <f t="shared" si="209"/>
        <v>8367840.0000000009</v>
      </c>
      <c r="M475" s="58"/>
      <c r="N475" s="58"/>
      <c r="O475" s="51">
        <f t="shared" si="210"/>
        <v>8367840.0000000009</v>
      </c>
      <c r="P475" s="53">
        <f t="shared" si="217"/>
        <v>675864</v>
      </c>
      <c r="Q475" s="54"/>
      <c r="R475" s="53">
        <f t="shared" si="206"/>
        <v>675864</v>
      </c>
      <c r="S475" s="53">
        <f t="shared" si="218"/>
        <v>7691976.0000000009</v>
      </c>
      <c r="T475" s="41"/>
    </row>
    <row r="476" spans="1:20">
      <c r="A476" s="21">
        <v>11</v>
      </c>
      <c r="B476" s="39" t="s">
        <v>21</v>
      </c>
      <c r="C476" s="42" t="s">
        <v>36</v>
      </c>
      <c r="D476" s="55" t="s">
        <v>29</v>
      </c>
      <c r="E476" s="24">
        <v>4.32</v>
      </c>
      <c r="F476" s="47">
        <v>0.2</v>
      </c>
      <c r="G476" s="33"/>
      <c r="H476" s="35"/>
      <c r="I476" s="48"/>
      <c r="J476" s="49">
        <f>30/100*(E476+F476+G476)</f>
        <v>1.3560000000000001</v>
      </c>
      <c r="K476" s="50">
        <f t="shared" si="208"/>
        <v>5.8760000000000003</v>
      </c>
      <c r="L476" s="51">
        <f t="shared" si="209"/>
        <v>8755240</v>
      </c>
      <c r="M476" s="58"/>
      <c r="N476" s="58"/>
      <c r="O476" s="51">
        <f t="shared" si="210"/>
        <v>8755240</v>
      </c>
      <c r="P476" s="53">
        <f>((E476+F476+G476+I476)*1490000-M476)*10.5%</f>
        <v>707154.00000000012</v>
      </c>
      <c r="Q476" s="54"/>
      <c r="R476" s="53">
        <f t="shared" si="206"/>
        <v>707154.00000000012</v>
      </c>
      <c r="S476" s="53">
        <f t="shared" si="218"/>
        <v>8048086</v>
      </c>
      <c r="T476" s="151"/>
    </row>
    <row r="477" spans="1:20">
      <c r="A477" s="21">
        <v>12</v>
      </c>
      <c r="B477" s="39" t="s">
        <v>64</v>
      </c>
      <c r="C477" s="26" t="s">
        <v>59</v>
      </c>
      <c r="D477" s="55" t="s">
        <v>35</v>
      </c>
      <c r="E477" s="24">
        <v>4.2699999999999996</v>
      </c>
      <c r="F477" s="47">
        <v>0.2</v>
      </c>
      <c r="G477" s="33"/>
      <c r="H477" s="34">
        <v>0.1</v>
      </c>
      <c r="I477" s="48"/>
      <c r="J477" s="49"/>
      <c r="K477" s="50">
        <f t="shared" si="208"/>
        <v>4.5699999999999994</v>
      </c>
      <c r="L477" s="51">
        <f t="shared" si="209"/>
        <v>6809299.9999999991</v>
      </c>
      <c r="M477" s="58"/>
      <c r="N477" s="58"/>
      <c r="O477" s="51">
        <f t="shared" si="210"/>
        <v>6809299.9999999991</v>
      </c>
      <c r="P477" s="53">
        <f>((E477+F477+G477+I477)*1490000-M477)*10.5%</f>
        <v>699331.5</v>
      </c>
      <c r="Q477" s="54"/>
      <c r="R477" s="53">
        <f t="shared" si="206"/>
        <v>699331.5</v>
      </c>
      <c r="S477" s="53">
        <f>O477-R477</f>
        <v>6109968.4999999991</v>
      </c>
      <c r="T477" s="151"/>
    </row>
    <row r="478" spans="1:20">
      <c r="A478" s="21">
        <v>13</v>
      </c>
      <c r="B478" s="39" t="s">
        <v>21</v>
      </c>
      <c r="C478" s="40" t="s">
        <v>69</v>
      </c>
      <c r="D478" s="55" t="s">
        <v>27</v>
      </c>
      <c r="E478" s="24">
        <v>4.6500000000000004</v>
      </c>
      <c r="F478" s="47"/>
      <c r="G478" s="33"/>
      <c r="H478" s="35"/>
      <c r="I478" s="48"/>
      <c r="J478" s="49">
        <f>30/100*(E478+F478+G478)</f>
        <v>1.395</v>
      </c>
      <c r="K478" s="50">
        <f t="shared" si="208"/>
        <v>6.0449999999999999</v>
      </c>
      <c r="L478" s="51">
        <f t="shared" si="209"/>
        <v>9007050</v>
      </c>
      <c r="M478" s="58"/>
      <c r="N478" s="58"/>
      <c r="O478" s="51">
        <f t="shared" si="210"/>
        <v>9007050</v>
      </c>
      <c r="P478" s="53">
        <f t="shared" ref="P478:P492" si="219">((E478+F478+G478+I478)*1490000-M478)*10.5%</f>
        <v>727492.50000000012</v>
      </c>
      <c r="Q478" s="54"/>
      <c r="R478" s="53">
        <f t="shared" si="206"/>
        <v>727492.50000000012</v>
      </c>
      <c r="S478" s="53">
        <f t="shared" ref="S478:S485" si="220">O478-R478</f>
        <v>8279557.5</v>
      </c>
      <c r="T478" s="150"/>
    </row>
    <row r="479" spans="1:20">
      <c r="A479" s="21">
        <v>14</v>
      </c>
      <c r="B479" s="39" t="s">
        <v>21</v>
      </c>
      <c r="C479" s="40" t="s">
        <v>37</v>
      </c>
      <c r="D479" s="55" t="s">
        <v>27</v>
      </c>
      <c r="E479" s="24">
        <v>4.32</v>
      </c>
      <c r="F479" s="24"/>
      <c r="G479" s="33"/>
      <c r="H479" s="35"/>
      <c r="I479" s="48"/>
      <c r="J479" s="49">
        <f>30/100*(E479+F479+G479)</f>
        <v>1.296</v>
      </c>
      <c r="K479" s="50">
        <f t="shared" si="208"/>
        <v>5.6160000000000005</v>
      </c>
      <c r="L479" s="51">
        <f t="shared" si="209"/>
        <v>8367840.0000000009</v>
      </c>
      <c r="M479" s="58"/>
      <c r="N479" s="58"/>
      <c r="O479" s="51">
        <f t="shared" si="210"/>
        <v>8367840.0000000009</v>
      </c>
      <c r="P479" s="53">
        <f t="shared" si="219"/>
        <v>675864</v>
      </c>
      <c r="Q479" s="54"/>
      <c r="R479" s="53">
        <f t="shared" si="206"/>
        <v>675864</v>
      </c>
      <c r="S479" s="53">
        <f t="shared" si="220"/>
        <v>7691976.0000000009</v>
      </c>
      <c r="T479" s="2"/>
    </row>
    <row r="480" spans="1:20">
      <c r="A480" s="21">
        <v>15</v>
      </c>
      <c r="B480" s="39" t="s">
        <v>21</v>
      </c>
      <c r="C480" s="40" t="s">
        <v>71</v>
      </c>
      <c r="D480" s="55" t="s">
        <v>27</v>
      </c>
      <c r="E480" s="24">
        <v>4.32</v>
      </c>
      <c r="F480" s="24"/>
      <c r="G480" s="33"/>
      <c r="H480" s="35"/>
      <c r="I480" s="48"/>
      <c r="J480" s="49">
        <f t="shared" ref="J480:J482" si="221">30/100*(E480+F480+G480)</f>
        <v>1.296</v>
      </c>
      <c r="K480" s="50">
        <f t="shared" si="208"/>
        <v>5.6160000000000005</v>
      </c>
      <c r="L480" s="51">
        <f t="shared" si="209"/>
        <v>8367840.0000000009</v>
      </c>
      <c r="M480" s="58"/>
      <c r="N480" s="58"/>
      <c r="O480" s="51">
        <f t="shared" si="210"/>
        <v>8367840.0000000009</v>
      </c>
      <c r="P480" s="53">
        <f t="shared" si="219"/>
        <v>675864</v>
      </c>
      <c r="Q480" s="54"/>
      <c r="R480" s="53">
        <f t="shared" si="206"/>
        <v>675864</v>
      </c>
      <c r="S480" s="53">
        <f t="shared" si="220"/>
        <v>7691976.0000000009</v>
      </c>
      <c r="T480" s="41"/>
    </row>
    <row r="481" spans="1:20">
      <c r="A481" s="21">
        <v>16</v>
      </c>
      <c r="B481" s="39" t="s">
        <v>21</v>
      </c>
      <c r="C481" s="40" t="s">
        <v>38</v>
      </c>
      <c r="D481" s="55" t="s">
        <v>27</v>
      </c>
      <c r="E481" s="24">
        <v>4.32</v>
      </c>
      <c r="F481" s="24"/>
      <c r="G481" s="33"/>
      <c r="H481" s="35"/>
      <c r="I481" s="48"/>
      <c r="J481" s="49">
        <f t="shared" si="221"/>
        <v>1.296</v>
      </c>
      <c r="K481" s="50">
        <f t="shared" si="208"/>
        <v>5.6160000000000005</v>
      </c>
      <c r="L481" s="51">
        <f t="shared" si="209"/>
        <v>8367840.0000000009</v>
      </c>
      <c r="M481" s="58"/>
      <c r="N481" s="58"/>
      <c r="O481" s="51">
        <f t="shared" si="210"/>
        <v>8367840.0000000009</v>
      </c>
      <c r="P481" s="53">
        <f t="shared" si="219"/>
        <v>675864</v>
      </c>
      <c r="Q481" s="54"/>
      <c r="R481" s="53">
        <f t="shared" si="206"/>
        <v>675864</v>
      </c>
      <c r="S481" s="53">
        <f t="shared" si="220"/>
        <v>7691976.0000000009</v>
      </c>
      <c r="T481" s="41"/>
    </row>
    <row r="482" spans="1:20">
      <c r="A482" s="21">
        <v>17</v>
      </c>
      <c r="B482" s="39" t="s">
        <v>21</v>
      </c>
      <c r="C482" s="40" t="s">
        <v>72</v>
      </c>
      <c r="D482" s="55" t="s">
        <v>27</v>
      </c>
      <c r="E482" s="24">
        <v>4.32</v>
      </c>
      <c r="F482" s="24"/>
      <c r="G482" s="33"/>
      <c r="H482" s="35"/>
      <c r="I482" s="48"/>
      <c r="J482" s="49">
        <f t="shared" si="221"/>
        <v>1.296</v>
      </c>
      <c r="K482" s="50">
        <f t="shared" si="208"/>
        <v>5.6160000000000005</v>
      </c>
      <c r="L482" s="51">
        <f t="shared" si="209"/>
        <v>8367840.0000000009</v>
      </c>
      <c r="M482" s="58"/>
      <c r="N482" s="58"/>
      <c r="O482" s="51">
        <f t="shared" si="210"/>
        <v>8367840.0000000009</v>
      </c>
      <c r="P482" s="53">
        <f t="shared" si="219"/>
        <v>675864</v>
      </c>
      <c r="Q482" s="54"/>
      <c r="R482" s="53">
        <f t="shared" si="206"/>
        <v>675864</v>
      </c>
      <c r="S482" s="53">
        <f t="shared" si="220"/>
        <v>7691976.0000000009</v>
      </c>
      <c r="T482" s="41"/>
    </row>
    <row r="483" spans="1:20">
      <c r="A483" s="21">
        <v>18</v>
      </c>
      <c r="B483" s="39" t="s">
        <v>21</v>
      </c>
      <c r="C483" s="40" t="s">
        <v>91</v>
      </c>
      <c r="D483" s="55" t="s">
        <v>27</v>
      </c>
      <c r="E483" s="24">
        <v>4.32</v>
      </c>
      <c r="F483" s="24">
        <v>0.15</v>
      </c>
      <c r="G483" s="60"/>
      <c r="H483" s="35"/>
      <c r="I483" s="48"/>
      <c r="J483" s="49">
        <f>30/100*(E483+F483+G483)</f>
        <v>1.3410000000000002</v>
      </c>
      <c r="K483" s="61">
        <f t="shared" si="208"/>
        <v>5.8110000000000008</v>
      </c>
      <c r="L483" s="62">
        <f t="shared" si="209"/>
        <v>8658390.0000000019</v>
      </c>
      <c r="M483" s="63"/>
      <c r="N483" s="63"/>
      <c r="O483" s="62">
        <f t="shared" si="210"/>
        <v>8658390.0000000019</v>
      </c>
      <c r="P483" s="64">
        <f t="shared" si="219"/>
        <v>699331.50000000012</v>
      </c>
      <c r="Q483" s="54"/>
      <c r="R483" s="64">
        <f t="shared" si="206"/>
        <v>699331.50000000012</v>
      </c>
      <c r="S483" s="64">
        <f t="shared" si="220"/>
        <v>7959058.5000000019</v>
      </c>
      <c r="T483" s="41"/>
    </row>
    <row r="484" spans="1:20">
      <c r="A484" s="21">
        <v>19</v>
      </c>
      <c r="B484" s="39" t="s">
        <v>21</v>
      </c>
      <c r="C484" s="40" t="s">
        <v>39</v>
      </c>
      <c r="D484" s="55" t="s">
        <v>27</v>
      </c>
      <c r="E484" s="24">
        <v>4.32</v>
      </c>
      <c r="F484" s="24"/>
      <c r="G484" s="33"/>
      <c r="H484" s="36"/>
      <c r="I484" s="48"/>
      <c r="J484" s="49">
        <f>30/100*(E484+F484+G484)</f>
        <v>1.296</v>
      </c>
      <c r="K484" s="50">
        <f t="shared" si="208"/>
        <v>5.6160000000000005</v>
      </c>
      <c r="L484" s="51">
        <f t="shared" si="209"/>
        <v>8367840.0000000009</v>
      </c>
      <c r="M484" s="58"/>
      <c r="N484" s="58"/>
      <c r="O484" s="51">
        <f t="shared" si="210"/>
        <v>8367840.0000000009</v>
      </c>
      <c r="P484" s="53">
        <f t="shared" si="219"/>
        <v>675864</v>
      </c>
      <c r="Q484" s="54"/>
      <c r="R484" s="53">
        <f t="shared" si="206"/>
        <v>675864</v>
      </c>
      <c r="S484" s="53">
        <f t="shared" si="220"/>
        <v>7691976.0000000009</v>
      </c>
      <c r="T484" s="41"/>
    </row>
    <row r="485" spans="1:20">
      <c r="A485" s="21">
        <v>20</v>
      </c>
      <c r="B485" s="39" t="s">
        <v>22</v>
      </c>
      <c r="C485" s="40" t="s">
        <v>40</v>
      </c>
      <c r="D485" s="55" t="s">
        <v>90</v>
      </c>
      <c r="E485" s="24">
        <v>3.96</v>
      </c>
      <c r="F485" s="24">
        <v>0.15</v>
      </c>
      <c r="G485" s="33"/>
      <c r="H485" s="36"/>
      <c r="I485" s="48"/>
      <c r="J485" s="49">
        <f t="shared" ref="J485" si="222">30/100*(E485+F485+G485)</f>
        <v>1.2330000000000001</v>
      </c>
      <c r="K485" s="50">
        <f t="shared" si="208"/>
        <v>5.343</v>
      </c>
      <c r="L485" s="51">
        <f t="shared" si="209"/>
        <v>7961070</v>
      </c>
      <c r="M485" s="58"/>
      <c r="N485" s="58"/>
      <c r="O485" s="51">
        <f t="shared" si="210"/>
        <v>7961070</v>
      </c>
      <c r="P485" s="53">
        <f t="shared" si="219"/>
        <v>643009.50000000012</v>
      </c>
      <c r="Q485" s="54"/>
      <c r="R485" s="53">
        <f t="shared" si="206"/>
        <v>643009.50000000012</v>
      </c>
      <c r="S485" s="53">
        <f t="shared" si="220"/>
        <v>7318060.5</v>
      </c>
      <c r="T485" s="41"/>
    </row>
    <row r="486" spans="1:20" ht="15.75">
      <c r="A486" s="21">
        <v>21</v>
      </c>
      <c r="B486" s="39" t="s">
        <v>21</v>
      </c>
      <c r="C486" s="40" t="s">
        <v>73</v>
      </c>
      <c r="D486" s="55" t="s">
        <v>27</v>
      </c>
      <c r="E486" s="24">
        <v>3.99</v>
      </c>
      <c r="F486" s="24"/>
      <c r="G486" s="14"/>
      <c r="H486" s="10"/>
      <c r="I486" s="48"/>
      <c r="J486" s="49">
        <f>30/100*(E486+F486+G486)</f>
        <v>1.1970000000000001</v>
      </c>
      <c r="K486" s="50">
        <f t="shared" si="208"/>
        <v>5.1870000000000003</v>
      </c>
      <c r="L486" s="51">
        <f t="shared" si="209"/>
        <v>7728630</v>
      </c>
      <c r="M486" s="65"/>
      <c r="N486" s="65"/>
      <c r="O486" s="51">
        <f>L486-M486+N486</f>
        <v>7728630</v>
      </c>
      <c r="P486" s="53">
        <f t="shared" si="219"/>
        <v>624235.5</v>
      </c>
      <c r="Q486" s="54"/>
      <c r="R486" s="53">
        <f t="shared" si="206"/>
        <v>624235.5</v>
      </c>
      <c r="S486" s="53">
        <f>O486-R486-N486</f>
        <v>7104394.5</v>
      </c>
      <c r="T486" s="41"/>
    </row>
    <row r="487" spans="1:20" ht="15.75">
      <c r="A487" s="21">
        <v>22</v>
      </c>
      <c r="B487" s="39" t="s">
        <v>21</v>
      </c>
      <c r="C487" s="40" t="s">
        <v>41</v>
      </c>
      <c r="D487" s="55" t="s">
        <v>27</v>
      </c>
      <c r="E487" s="24">
        <v>3.99</v>
      </c>
      <c r="F487" s="56"/>
      <c r="G487" s="14"/>
      <c r="H487" s="10"/>
      <c r="I487" s="48"/>
      <c r="J487" s="49">
        <f t="shared" ref="J487:J492" si="223">30/100*(E487+F487+G487)</f>
        <v>1.1970000000000001</v>
      </c>
      <c r="K487" s="50">
        <f t="shared" si="208"/>
        <v>5.1870000000000003</v>
      </c>
      <c r="L487" s="51">
        <f t="shared" si="209"/>
        <v>7728630</v>
      </c>
      <c r="M487" s="58"/>
      <c r="N487" s="58"/>
      <c r="O487" s="51">
        <f t="shared" ref="O487:O492" si="224">L487-M487+N487</f>
        <v>7728630</v>
      </c>
      <c r="P487" s="53">
        <f t="shared" si="219"/>
        <v>624235.5</v>
      </c>
      <c r="Q487" s="54"/>
      <c r="R487" s="53">
        <f t="shared" si="206"/>
        <v>624235.5</v>
      </c>
      <c r="S487" s="53">
        <f t="shared" ref="S487:S490" si="225">O487-R487</f>
        <v>7104394.5</v>
      </c>
      <c r="T487" s="41"/>
    </row>
    <row r="488" spans="1:20">
      <c r="A488" s="21">
        <v>23</v>
      </c>
      <c r="B488" s="39" t="s">
        <v>21</v>
      </c>
      <c r="C488" s="40" t="s">
        <v>42</v>
      </c>
      <c r="D488" s="55" t="s">
        <v>27</v>
      </c>
      <c r="E488" s="24">
        <v>3.99</v>
      </c>
      <c r="F488" s="56"/>
      <c r="G488" s="14"/>
      <c r="H488" s="24">
        <v>0.1</v>
      </c>
      <c r="I488" s="48"/>
      <c r="J488" s="49">
        <f t="shared" si="223"/>
        <v>1.1970000000000001</v>
      </c>
      <c r="K488" s="50">
        <f t="shared" si="208"/>
        <v>5.2869999999999999</v>
      </c>
      <c r="L488" s="51">
        <f t="shared" si="209"/>
        <v>7877630</v>
      </c>
      <c r="M488" s="58"/>
      <c r="N488" s="58"/>
      <c r="O488" s="51">
        <f t="shared" si="224"/>
        <v>7877630</v>
      </c>
      <c r="P488" s="53">
        <f t="shared" si="219"/>
        <v>624235.5</v>
      </c>
      <c r="Q488" s="54"/>
      <c r="R488" s="53">
        <f t="shared" si="206"/>
        <v>624235.5</v>
      </c>
      <c r="S488" s="53">
        <f t="shared" si="225"/>
        <v>7253394.5</v>
      </c>
      <c r="T488" s="41"/>
    </row>
    <row r="489" spans="1:20" ht="15.75">
      <c r="A489" s="21">
        <v>24</v>
      </c>
      <c r="B489" s="39" t="s">
        <v>21</v>
      </c>
      <c r="C489" s="26" t="s">
        <v>74</v>
      </c>
      <c r="D489" s="55" t="s">
        <v>27</v>
      </c>
      <c r="E489" s="24">
        <v>3.99</v>
      </c>
      <c r="F489" s="56"/>
      <c r="G489" s="14"/>
      <c r="H489" s="10"/>
      <c r="I489" s="66"/>
      <c r="J489" s="67">
        <f t="shared" si="223"/>
        <v>1.1970000000000001</v>
      </c>
      <c r="K489" s="68">
        <f t="shared" si="208"/>
        <v>5.1870000000000003</v>
      </c>
      <c r="L489" s="69">
        <f t="shared" si="209"/>
        <v>7728630</v>
      </c>
      <c r="M489" s="70"/>
      <c r="N489" s="70"/>
      <c r="O489" s="69">
        <f t="shared" si="224"/>
        <v>7728630</v>
      </c>
      <c r="P489" s="71">
        <f t="shared" si="219"/>
        <v>624235.5</v>
      </c>
      <c r="Q489" s="54"/>
      <c r="R489" s="71">
        <f t="shared" si="206"/>
        <v>624235.5</v>
      </c>
      <c r="S489" s="71">
        <f t="shared" si="225"/>
        <v>7104394.5</v>
      </c>
      <c r="T489" s="41"/>
    </row>
    <row r="490" spans="1:20" ht="15.75">
      <c r="A490" s="21">
        <v>25</v>
      </c>
      <c r="B490" s="72" t="s">
        <v>21</v>
      </c>
      <c r="C490" s="26" t="s">
        <v>43</v>
      </c>
      <c r="D490" s="55" t="s">
        <v>27</v>
      </c>
      <c r="E490" s="24">
        <v>3.99</v>
      </c>
      <c r="F490" s="56"/>
      <c r="G490" s="14"/>
      <c r="H490" s="10"/>
      <c r="I490" s="66"/>
      <c r="J490" s="67">
        <f t="shared" si="223"/>
        <v>1.1970000000000001</v>
      </c>
      <c r="K490" s="68">
        <f t="shared" si="208"/>
        <v>5.1870000000000003</v>
      </c>
      <c r="L490" s="69">
        <f t="shared" si="209"/>
        <v>7728630</v>
      </c>
      <c r="M490" s="70"/>
      <c r="N490" s="70"/>
      <c r="O490" s="69">
        <f t="shared" si="224"/>
        <v>7728630</v>
      </c>
      <c r="P490" s="71">
        <f t="shared" si="219"/>
        <v>624235.5</v>
      </c>
      <c r="Q490" s="54"/>
      <c r="R490" s="71">
        <f t="shared" si="206"/>
        <v>624235.5</v>
      </c>
      <c r="S490" s="71">
        <f t="shared" si="225"/>
        <v>7104394.5</v>
      </c>
      <c r="T490" s="41"/>
    </row>
    <row r="491" spans="1:20" ht="15.75">
      <c r="A491" s="21">
        <v>26</v>
      </c>
      <c r="B491" s="39" t="s">
        <v>21</v>
      </c>
      <c r="C491" s="26" t="s">
        <v>58</v>
      </c>
      <c r="D491" s="55" t="s">
        <v>27</v>
      </c>
      <c r="E491" s="24">
        <v>3.33</v>
      </c>
      <c r="F491" s="56"/>
      <c r="G491" s="14"/>
      <c r="H491" s="10"/>
      <c r="I491" s="48"/>
      <c r="J491" s="49">
        <f t="shared" si="223"/>
        <v>0.999</v>
      </c>
      <c r="K491" s="50">
        <f t="shared" si="208"/>
        <v>4.3289999999999997</v>
      </c>
      <c r="L491" s="51">
        <f t="shared" si="209"/>
        <v>6450210</v>
      </c>
      <c r="M491" s="58"/>
      <c r="N491" s="58"/>
      <c r="O491" s="51">
        <f t="shared" si="224"/>
        <v>6450210</v>
      </c>
      <c r="P491" s="53">
        <f t="shared" si="219"/>
        <v>520978.5</v>
      </c>
      <c r="Q491" s="54"/>
      <c r="R491" s="53">
        <f t="shared" si="206"/>
        <v>520978.5</v>
      </c>
      <c r="S491" s="53">
        <f>O491-R491</f>
        <v>5929231.5</v>
      </c>
      <c r="T491" s="41"/>
    </row>
    <row r="492" spans="1:20" ht="15.75">
      <c r="A492" s="21">
        <v>27</v>
      </c>
      <c r="B492" s="39" t="s">
        <v>21</v>
      </c>
      <c r="C492" s="40" t="s">
        <v>44</v>
      </c>
      <c r="D492" s="55" t="s">
        <v>27</v>
      </c>
      <c r="E492" s="24">
        <v>3.99</v>
      </c>
      <c r="F492" s="56"/>
      <c r="G492" s="14"/>
      <c r="H492" s="10"/>
      <c r="I492" s="48"/>
      <c r="J492" s="49">
        <f t="shared" si="223"/>
        <v>1.1970000000000001</v>
      </c>
      <c r="K492" s="50">
        <f t="shared" si="208"/>
        <v>5.1870000000000003</v>
      </c>
      <c r="L492" s="51">
        <f t="shared" si="209"/>
        <v>7728630</v>
      </c>
      <c r="M492" s="58"/>
      <c r="N492" s="58"/>
      <c r="O492" s="51">
        <f t="shared" si="224"/>
        <v>7728630</v>
      </c>
      <c r="P492" s="53">
        <f t="shared" si="219"/>
        <v>624235.5</v>
      </c>
      <c r="Q492" s="54"/>
      <c r="R492" s="53">
        <f t="shared" si="206"/>
        <v>624235.5</v>
      </c>
      <c r="S492" s="53">
        <f t="shared" ref="S492" si="226">O492-R492</f>
        <v>7104394.5</v>
      </c>
      <c r="T492" s="41"/>
    </row>
    <row r="493" spans="1:20" ht="15.75">
      <c r="A493" s="21">
        <v>28</v>
      </c>
      <c r="B493" s="39" t="s">
        <v>53</v>
      </c>
      <c r="C493" s="73" t="s">
        <v>75</v>
      </c>
      <c r="D493" s="55" t="s">
        <v>83</v>
      </c>
      <c r="E493" s="74">
        <v>3.46</v>
      </c>
      <c r="F493" s="56">
        <v>0.15</v>
      </c>
      <c r="G493" s="14"/>
      <c r="H493" s="10"/>
      <c r="I493" s="48"/>
      <c r="J493" s="49"/>
      <c r="K493" s="50">
        <f>E493+F493+G493+H493+I493+J493</f>
        <v>3.61</v>
      </c>
      <c r="L493" s="51">
        <f>K493*1490000</f>
        <v>5378900</v>
      </c>
      <c r="M493" s="65"/>
      <c r="N493" s="75"/>
      <c r="O493" s="51">
        <f>L493-M493+N493</f>
        <v>5378900</v>
      </c>
      <c r="P493" s="53">
        <f>((E493+F493+G493+I493)*1490000)*10.5%</f>
        <v>564784.5</v>
      </c>
      <c r="Q493" s="54"/>
      <c r="R493" s="53">
        <f t="shared" si="206"/>
        <v>564784.5</v>
      </c>
      <c r="S493" s="53">
        <f>O493-R493</f>
        <v>4814115.5</v>
      </c>
      <c r="T493" s="41"/>
    </row>
    <row r="494" spans="1:20" ht="15.75">
      <c r="A494" s="21">
        <v>29</v>
      </c>
      <c r="B494" s="39" t="s">
        <v>89</v>
      </c>
      <c r="C494" s="42" t="s">
        <v>46</v>
      </c>
      <c r="D494" s="55" t="s">
        <v>27</v>
      </c>
      <c r="E494" s="24">
        <v>4</v>
      </c>
      <c r="F494" s="24"/>
      <c r="G494" s="14"/>
      <c r="H494" s="10"/>
      <c r="I494" s="48"/>
      <c r="J494" s="49">
        <f t="shared" ref="J494:J495" si="227">30/100*(E494+F494+G494)</f>
        <v>1.2</v>
      </c>
      <c r="K494" s="50">
        <f t="shared" ref="K494:K496" si="228">E494+F494+G494+H494+I494+J494</f>
        <v>5.2</v>
      </c>
      <c r="L494" s="51">
        <f t="shared" ref="L494:L498" si="229">K494*1490000</f>
        <v>7748000</v>
      </c>
      <c r="M494" s="58"/>
      <c r="N494" s="58"/>
      <c r="O494" s="51">
        <f t="shared" ref="O494:O502" si="230">L494-M494+N494</f>
        <v>7748000</v>
      </c>
      <c r="P494" s="53">
        <f t="shared" ref="P494:P496" si="231">((E494+F494+G494+I494)*1490000-M494)*10.5%</f>
        <v>625800</v>
      </c>
      <c r="Q494" s="54"/>
      <c r="R494" s="53">
        <f t="shared" si="206"/>
        <v>625800</v>
      </c>
      <c r="S494" s="76">
        <f t="shared" ref="S494:S495" si="232">O494-R494</f>
        <v>7122200</v>
      </c>
      <c r="T494" s="41"/>
    </row>
    <row r="495" spans="1:20" ht="15.75">
      <c r="A495" s="21">
        <v>30</v>
      </c>
      <c r="B495" s="39" t="s">
        <v>21</v>
      </c>
      <c r="C495" s="40" t="s">
        <v>47</v>
      </c>
      <c r="D495" s="55" t="s">
        <v>27</v>
      </c>
      <c r="E495" s="24">
        <v>3.99</v>
      </c>
      <c r="F495" s="24"/>
      <c r="G495" s="14"/>
      <c r="H495" s="10"/>
      <c r="I495" s="48"/>
      <c r="J495" s="49">
        <f t="shared" si="227"/>
        <v>1.1970000000000001</v>
      </c>
      <c r="K495" s="50">
        <f t="shared" si="228"/>
        <v>5.1870000000000003</v>
      </c>
      <c r="L495" s="51">
        <f t="shared" si="229"/>
        <v>7728630</v>
      </c>
      <c r="M495" s="53"/>
      <c r="N495" s="58"/>
      <c r="O495" s="51">
        <f t="shared" si="230"/>
        <v>7728630</v>
      </c>
      <c r="P495" s="53">
        <f t="shared" si="231"/>
        <v>624235.5</v>
      </c>
      <c r="Q495" s="54"/>
      <c r="R495" s="53">
        <f t="shared" si="206"/>
        <v>624235.5</v>
      </c>
      <c r="S495" s="76">
        <f t="shared" si="232"/>
        <v>7104394.5</v>
      </c>
      <c r="T495" s="41"/>
    </row>
    <row r="496" spans="1:20" ht="15.75">
      <c r="A496" s="21">
        <v>31</v>
      </c>
      <c r="B496" s="39" t="s">
        <v>21</v>
      </c>
      <c r="C496" s="40" t="s">
        <v>48</v>
      </c>
      <c r="D496" s="55" t="s">
        <v>27</v>
      </c>
      <c r="E496" s="24">
        <v>3.66</v>
      </c>
      <c r="F496" s="24"/>
      <c r="G496" s="14"/>
      <c r="H496" s="10"/>
      <c r="I496" s="48"/>
      <c r="J496" s="49">
        <f>30/100*(E496+F496+G496)</f>
        <v>1.0980000000000001</v>
      </c>
      <c r="K496" s="50">
        <f t="shared" si="228"/>
        <v>4.758</v>
      </c>
      <c r="L496" s="51">
        <f t="shared" si="229"/>
        <v>7089420</v>
      </c>
      <c r="M496" s="53"/>
      <c r="N496" s="58"/>
      <c r="O496" s="51">
        <f t="shared" si="230"/>
        <v>7089420</v>
      </c>
      <c r="P496" s="53">
        <f t="shared" si="231"/>
        <v>572607</v>
      </c>
      <c r="Q496" s="54"/>
      <c r="R496" s="53">
        <f t="shared" si="206"/>
        <v>572607</v>
      </c>
      <c r="S496" s="76">
        <f>O496-R496</f>
        <v>6516813</v>
      </c>
      <c r="T496" s="41"/>
    </row>
    <row r="497" spans="1:20" ht="15.75">
      <c r="A497" s="21">
        <v>32</v>
      </c>
      <c r="B497" s="39" t="s">
        <v>21</v>
      </c>
      <c r="C497" s="40" t="s">
        <v>92</v>
      </c>
      <c r="D497" s="55" t="s">
        <v>27</v>
      </c>
      <c r="E497" s="24">
        <v>3.33</v>
      </c>
      <c r="F497" s="24"/>
      <c r="G497" s="14"/>
      <c r="H497" s="10"/>
      <c r="I497" s="48"/>
      <c r="J497" s="49">
        <f>30/100*(E497+F497+G497)</f>
        <v>0.999</v>
      </c>
      <c r="K497" s="50">
        <f>E497+F497+G497+H497+I497+J497</f>
        <v>4.3289999999999997</v>
      </c>
      <c r="L497" s="51">
        <f t="shared" si="229"/>
        <v>6450210</v>
      </c>
      <c r="M497" s="53"/>
      <c r="N497" s="53"/>
      <c r="O497" s="51">
        <f t="shared" si="230"/>
        <v>6450210</v>
      </c>
      <c r="P497" s="53">
        <f>((E497+F497+G497+I497)*1490000)*10.5%</f>
        <v>520978.5</v>
      </c>
      <c r="Q497" s="54"/>
      <c r="R497" s="53">
        <f t="shared" si="206"/>
        <v>520978.5</v>
      </c>
      <c r="S497" s="76">
        <f t="shared" ref="S497:S498" si="233">O497-R497</f>
        <v>5929231.5</v>
      </c>
      <c r="T497" s="41"/>
    </row>
    <row r="498" spans="1:20" ht="15.75">
      <c r="A498" s="21">
        <v>33</v>
      </c>
      <c r="B498" s="39" t="s">
        <v>21</v>
      </c>
      <c r="C498" s="40" t="s">
        <v>93</v>
      </c>
      <c r="D498" s="55" t="s">
        <v>27</v>
      </c>
      <c r="E498" s="24">
        <v>3.66</v>
      </c>
      <c r="F498" s="24"/>
      <c r="G498" s="14"/>
      <c r="H498" s="10"/>
      <c r="I498" s="48"/>
      <c r="J498" s="49">
        <f>30/100*(E498+F498+G498)</f>
        <v>1.0980000000000001</v>
      </c>
      <c r="K498" s="50">
        <f>E498+F498+G498+H498+I498+J498</f>
        <v>4.758</v>
      </c>
      <c r="L498" s="51">
        <f t="shared" si="229"/>
        <v>7089420</v>
      </c>
      <c r="M498" s="53"/>
      <c r="N498" s="53"/>
      <c r="O498" s="51">
        <f t="shared" si="230"/>
        <v>7089420</v>
      </c>
      <c r="P498" s="53">
        <f>((E498+F498+G498+I498)*1490000)*10.5%</f>
        <v>572607</v>
      </c>
      <c r="Q498" s="54"/>
      <c r="R498" s="53">
        <f t="shared" si="206"/>
        <v>572607</v>
      </c>
      <c r="S498" s="76">
        <f t="shared" si="233"/>
        <v>6516813</v>
      </c>
      <c r="T498" s="41"/>
    </row>
    <row r="499" spans="1:20" ht="15.75">
      <c r="A499" s="21">
        <v>34</v>
      </c>
      <c r="B499" s="39" t="s">
        <v>94</v>
      </c>
      <c r="C499" s="42" t="s">
        <v>95</v>
      </c>
      <c r="D499" s="77" t="s">
        <v>27</v>
      </c>
      <c r="E499" s="24">
        <v>3</v>
      </c>
      <c r="F499" s="24"/>
      <c r="G499" s="14"/>
      <c r="H499" s="11"/>
      <c r="I499" s="48"/>
      <c r="J499" s="49">
        <f>30/100*(E499+F499+G499)</f>
        <v>0.89999999999999991</v>
      </c>
      <c r="K499" s="50">
        <f>E499+F499+G499+H499+I499+J499</f>
        <v>3.9</v>
      </c>
      <c r="L499" s="51">
        <f>K499*1490000</f>
        <v>5811000</v>
      </c>
      <c r="M499" s="65"/>
      <c r="N499" s="65"/>
      <c r="O499" s="51">
        <f t="shared" si="230"/>
        <v>5811000</v>
      </c>
      <c r="P499" s="53">
        <f t="shared" ref="P499:P500" si="234">((E499+F499+G499+I499)*1490000-M499)*10.5%</f>
        <v>469350</v>
      </c>
      <c r="Q499" s="54"/>
      <c r="R499" s="53">
        <f t="shared" si="206"/>
        <v>469350</v>
      </c>
      <c r="S499" s="76">
        <f>O499-R499-N499</f>
        <v>5341650</v>
      </c>
      <c r="T499" s="41"/>
    </row>
    <row r="500" spans="1:20">
      <c r="A500" s="21">
        <v>35</v>
      </c>
      <c r="B500" s="39" t="s">
        <v>23</v>
      </c>
      <c r="C500" s="40" t="s">
        <v>49</v>
      </c>
      <c r="D500" s="55" t="s">
        <v>45</v>
      </c>
      <c r="E500" s="24">
        <v>3.34</v>
      </c>
      <c r="F500" s="24"/>
      <c r="G500" s="14"/>
      <c r="H500" s="24">
        <v>0.2</v>
      </c>
      <c r="I500" s="48"/>
      <c r="J500" s="49"/>
      <c r="K500" s="50">
        <f t="shared" ref="K500" si="235">E500+F500+G500+H500+I500+J500</f>
        <v>3.54</v>
      </c>
      <c r="L500" s="51">
        <f t="shared" ref="L500" si="236">K500*1490000</f>
        <v>5274600</v>
      </c>
      <c r="M500" s="53"/>
      <c r="N500" s="58"/>
      <c r="O500" s="51">
        <f t="shared" si="230"/>
        <v>5274600</v>
      </c>
      <c r="P500" s="53">
        <f t="shared" si="234"/>
        <v>522543</v>
      </c>
      <c r="Q500" s="54"/>
      <c r="R500" s="53">
        <f t="shared" si="206"/>
        <v>522543</v>
      </c>
      <c r="S500" s="76">
        <f>O500-R500</f>
        <v>4752057</v>
      </c>
      <c r="T500" s="41"/>
    </row>
    <row r="501" spans="1:20">
      <c r="A501" s="21">
        <v>36</v>
      </c>
      <c r="B501" s="39" t="s">
        <v>52</v>
      </c>
      <c r="C501" s="40" t="s">
        <v>50</v>
      </c>
      <c r="D501" s="77" t="s">
        <v>45</v>
      </c>
      <c r="E501" s="24">
        <v>2.86</v>
      </c>
      <c r="F501" s="24"/>
      <c r="G501" s="14"/>
      <c r="H501" s="24">
        <v>0.2</v>
      </c>
      <c r="I501" s="48"/>
      <c r="J501" s="49"/>
      <c r="K501" s="50">
        <f>E501+F501+G501+H501+I501+J501</f>
        <v>3.06</v>
      </c>
      <c r="L501" s="51">
        <f>K501*1490000</f>
        <v>4559400</v>
      </c>
      <c r="M501" s="53"/>
      <c r="N501" s="51"/>
      <c r="O501" s="51">
        <f t="shared" si="230"/>
        <v>4559400</v>
      </c>
      <c r="P501" s="53">
        <f>((E501+F501+G501+I501)*1490000)*10.5%</f>
        <v>447447</v>
      </c>
      <c r="Q501" s="53"/>
      <c r="R501" s="53">
        <f t="shared" si="206"/>
        <v>447447</v>
      </c>
      <c r="S501" s="76">
        <f>O501-R501</f>
        <v>4111953</v>
      </c>
      <c r="T501" s="41"/>
    </row>
    <row r="502" spans="1:20" ht="15.75">
      <c r="A502" s="21">
        <v>37</v>
      </c>
      <c r="B502" s="39" t="s">
        <v>54</v>
      </c>
      <c r="C502" s="40" t="s">
        <v>51</v>
      </c>
      <c r="D502" s="77" t="s">
        <v>96</v>
      </c>
      <c r="E502" s="24"/>
      <c r="F502" s="24"/>
      <c r="G502" s="14"/>
      <c r="H502" s="11"/>
      <c r="I502" s="48"/>
      <c r="J502" s="49"/>
      <c r="K502" s="50"/>
      <c r="L502" s="51">
        <v>3920000</v>
      </c>
      <c r="M502" s="53"/>
      <c r="N502" s="58"/>
      <c r="O502" s="51">
        <f t="shared" si="230"/>
        <v>3920000</v>
      </c>
      <c r="P502" s="53">
        <f>O502*10.5%</f>
        <v>411600</v>
      </c>
      <c r="Q502" s="53"/>
      <c r="R502" s="53">
        <f t="shared" si="206"/>
        <v>411600</v>
      </c>
      <c r="S502" s="76">
        <f>O502-R502</f>
        <v>3508400</v>
      </c>
      <c r="T502" s="2"/>
    </row>
    <row r="503" spans="1:20" ht="15.75">
      <c r="A503" s="2"/>
      <c r="B503" s="2"/>
      <c r="C503" s="3" t="s">
        <v>14</v>
      </c>
      <c r="D503" s="5"/>
      <c r="E503" s="27">
        <f t="shared" ref="E503" si="237">SUM(E466:E502)</f>
        <v>150.35999999999996</v>
      </c>
      <c r="F503" s="78">
        <f>SUM(F466:F502)</f>
        <v>2.1999999999999997</v>
      </c>
      <c r="G503" s="27">
        <f>SUM(G466:G502)</f>
        <v>0.94620000000000015</v>
      </c>
      <c r="H503" s="78">
        <f>SUM(H466:H502)</f>
        <v>0.60000000000000009</v>
      </c>
      <c r="I503" s="27">
        <f>SUM(I466:I502)</f>
        <v>0</v>
      </c>
      <c r="J503" s="27">
        <f t="shared" ref="J503" si="238">SUM(J466:J502)</f>
        <v>41.767860000000006</v>
      </c>
      <c r="K503" s="27">
        <f>SUM(K466:K502)</f>
        <v>195.8740600000001</v>
      </c>
      <c r="L503" s="28">
        <f t="shared" ref="L503:O503" si="239">SUM(L466:L502)</f>
        <v>295772349.39999998</v>
      </c>
      <c r="M503" s="75">
        <f t="shared" si="239"/>
        <v>0</v>
      </c>
      <c r="N503" s="75">
        <f t="shared" si="239"/>
        <v>0</v>
      </c>
      <c r="O503" s="28">
        <f t="shared" si="239"/>
        <v>295772349.39999998</v>
      </c>
      <c r="P503" s="28">
        <f>SUM(P466:P502)</f>
        <v>24347631.990000002</v>
      </c>
      <c r="Q503" s="28">
        <f>SUM(Q466:Q502)</f>
        <v>0</v>
      </c>
      <c r="R503" s="28">
        <f t="shared" ref="R503" si="240">SUM(R466:R502)</f>
        <v>24347631.990000002</v>
      </c>
      <c r="S503" s="32">
        <f>SUM(S466:S502)</f>
        <v>271424717.40999997</v>
      </c>
      <c r="T503" s="2"/>
    </row>
    <row r="504" spans="1:20">
      <c r="E504" s="9"/>
      <c r="F504" s="9"/>
      <c r="G504" s="9"/>
      <c r="H504" s="9"/>
      <c r="I504" s="19"/>
      <c r="J504" s="17"/>
    </row>
    <row r="505" spans="1:20">
      <c r="A505" s="1" t="s">
        <v>100</v>
      </c>
      <c r="D505" s="210" t="s">
        <v>291</v>
      </c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</row>
    <row r="506" spans="1:20" ht="15.75">
      <c r="A506" s="6"/>
      <c r="E506" s="9"/>
      <c r="F506" s="9"/>
      <c r="G506" s="9"/>
      <c r="H506" s="9"/>
      <c r="I506" s="19"/>
      <c r="J506" s="17"/>
      <c r="S506" s="15"/>
    </row>
    <row r="507" spans="1:20">
      <c r="A507" s="7"/>
      <c r="B507" s="7"/>
      <c r="C507" s="7"/>
      <c r="D507" s="211"/>
      <c r="E507" s="212"/>
      <c r="F507" s="212"/>
      <c r="G507" s="37"/>
      <c r="H507" s="37"/>
      <c r="I507" s="19"/>
      <c r="J507" s="17"/>
      <c r="N507" s="43"/>
      <c r="O507" s="43"/>
      <c r="P507" s="213" t="s">
        <v>290</v>
      </c>
      <c r="Q507" s="213"/>
      <c r="R507" s="213"/>
      <c r="S507" s="213"/>
    </row>
    <row r="508" spans="1:20">
      <c r="A508" s="214" t="s">
        <v>77</v>
      </c>
      <c r="B508" s="214"/>
      <c r="C508" s="214"/>
      <c r="D508" s="214"/>
      <c r="E508" s="214"/>
      <c r="F508" s="9"/>
      <c r="G508" s="44"/>
      <c r="H508" s="44"/>
      <c r="I508" s="19"/>
      <c r="J508" s="214" t="s">
        <v>79</v>
      </c>
      <c r="K508" s="214"/>
      <c r="L508" s="214"/>
      <c r="M508" s="214"/>
      <c r="P508" s="215" t="s">
        <v>65</v>
      </c>
      <c r="Q508" s="215"/>
      <c r="R508" s="215"/>
      <c r="S508" s="215"/>
    </row>
    <row r="509" spans="1:20">
      <c r="A509" s="216" t="s">
        <v>78</v>
      </c>
      <c r="B509" s="216"/>
      <c r="C509" s="216"/>
      <c r="D509" s="216"/>
      <c r="E509" s="9"/>
      <c r="F509" s="9"/>
      <c r="G509" s="9"/>
      <c r="H509" s="9"/>
      <c r="I509" s="19"/>
      <c r="J509" s="216" t="s">
        <v>80</v>
      </c>
      <c r="K509" s="216"/>
      <c r="L509" s="216"/>
      <c r="P509" s="217" t="s">
        <v>66</v>
      </c>
      <c r="Q509" s="217"/>
      <c r="R509" s="217"/>
      <c r="S509" s="217"/>
    </row>
    <row r="510" spans="1:20">
      <c r="E510" s="9"/>
      <c r="F510" s="9"/>
      <c r="G510" s="9"/>
      <c r="H510" s="9"/>
      <c r="I510" s="19"/>
      <c r="J510" s="17"/>
    </row>
    <row r="511" spans="1:20">
      <c r="B511" s="152"/>
      <c r="C511" s="79"/>
      <c r="D511" s="152"/>
      <c r="E511" s="9"/>
      <c r="F511" s="9"/>
      <c r="G511" s="9"/>
      <c r="H511" s="9"/>
      <c r="I511" s="19"/>
      <c r="J511" s="17"/>
    </row>
    <row r="512" spans="1:20" ht="15.75">
      <c r="B512" s="152"/>
      <c r="C512" s="153"/>
      <c r="D512" s="152"/>
      <c r="E512" s="9"/>
      <c r="F512" s="9"/>
      <c r="G512" s="9"/>
      <c r="H512" s="9"/>
      <c r="I512" s="19"/>
      <c r="J512" s="17"/>
      <c r="L512" s="12"/>
      <c r="P512" s="16"/>
    </row>
    <row r="513" spans="1:20" ht="15.75">
      <c r="B513" s="152"/>
      <c r="C513" s="153"/>
      <c r="D513" s="152"/>
      <c r="E513" s="9"/>
      <c r="F513" s="9"/>
      <c r="G513" s="9"/>
      <c r="H513" s="9"/>
      <c r="I513" s="19"/>
      <c r="J513" s="17"/>
    </row>
    <row r="514" spans="1:20" ht="15.75">
      <c r="B514" s="208" t="s">
        <v>267</v>
      </c>
      <c r="C514" s="208"/>
      <c r="D514" s="208"/>
      <c r="E514" s="9"/>
      <c r="F514" s="9"/>
      <c r="G514" s="9"/>
      <c r="H514" s="9"/>
      <c r="I514" s="19"/>
      <c r="J514" s="209" t="s">
        <v>59</v>
      </c>
      <c r="K514" s="209"/>
      <c r="L514" s="209"/>
      <c r="M514" s="209"/>
      <c r="P514" s="209" t="s">
        <v>81</v>
      </c>
      <c r="Q514" s="209"/>
      <c r="R514" s="209"/>
      <c r="S514" s="209"/>
    </row>
    <row r="522" spans="1:20" ht="15.75">
      <c r="A522" s="227" t="s">
        <v>55</v>
      </c>
      <c r="B522" s="227"/>
      <c r="C522" s="227"/>
      <c r="D522" s="227"/>
      <c r="E522" s="227"/>
      <c r="F522" s="227"/>
      <c r="G522" s="227"/>
      <c r="H522" s="227"/>
      <c r="I522" s="19"/>
      <c r="J522" s="17"/>
      <c r="Q522" s="228" t="s">
        <v>301</v>
      </c>
      <c r="R522" s="228"/>
      <c r="S522" s="228"/>
    </row>
    <row r="523" spans="1:20">
      <c r="A523" s="229" t="s">
        <v>67</v>
      </c>
      <c r="B523" s="229"/>
      <c r="C523" s="229"/>
      <c r="D523" s="229"/>
      <c r="E523" s="229"/>
      <c r="F523" s="229"/>
      <c r="G523" s="229"/>
      <c r="H523" s="9"/>
      <c r="I523" s="19"/>
      <c r="J523" s="17"/>
      <c r="R523" s="230" t="s">
        <v>68</v>
      </c>
      <c r="S523" s="230"/>
    </row>
    <row r="524" spans="1:20" ht="15.75">
      <c r="A524" s="227" t="s">
        <v>56</v>
      </c>
      <c r="B524" s="227"/>
      <c r="C524" s="227"/>
      <c r="D524" s="227"/>
      <c r="E524" s="227"/>
      <c r="F524" s="227"/>
      <c r="G524" s="227"/>
      <c r="H524" s="9"/>
      <c r="I524" s="19"/>
      <c r="J524" s="17"/>
      <c r="R524" s="29" t="s">
        <v>63</v>
      </c>
    </row>
    <row r="525" spans="1:20" ht="20.25">
      <c r="A525" s="231" t="s">
        <v>76</v>
      </c>
      <c r="B525" s="231"/>
      <c r="C525" s="231"/>
      <c r="D525" s="231"/>
      <c r="E525" s="231"/>
      <c r="F525" s="231"/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</row>
    <row r="526" spans="1:20" ht="18.75">
      <c r="A526" s="232" t="s">
        <v>302</v>
      </c>
      <c r="B526" s="232"/>
      <c r="C526" s="232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</row>
    <row r="527" spans="1:20">
      <c r="A527" s="225" t="s">
        <v>0</v>
      </c>
      <c r="B527" s="226" t="s">
        <v>1</v>
      </c>
      <c r="C527" s="226" t="s">
        <v>2</v>
      </c>
      <c r="D527" s="226" t="s">
        <v>3</v>
      </c>
      <c r="E527" s="226" t="s">
        <v>20</v>
      </c>
      <c r="F527" s="226"/>
      <c r="G527" s="226"/>
      <c r="H527" s="226"/>
      <c r="I527" s="226"/>
      <c r="J527" s="226"/>
      <c r="K527" s="226"/>
      <c r="L527" s="226"/>
      <c r="M527" s="233" t="s">
        <v>9</v>
      </c>
      <c r="N527" s="233" t="s">
        <v>11</v>
      </c>
      <c r="O527" s="226" t="s">
        <v>12</v>
      </c>
      <c r="P527" s="234" t="s">
        <v>13</v>
      </c>
      <c r="Q527" s="235"/>
      <c r="R527" s="236"/>
      <c r="S527" s="226" t="s">
        <v>15</v>
      </c>
      <c r="T527" s="218" t="s">
        <v>57</v>
      </c>
    </row>
    <row r="528" spans="1:20">
      <c r="A528" s="225"/>
      <c r="B528" s="226"/>
      <c r="C528" s="226"/>
      <c r="D528" s="226"/>
      <c r="E528" s="221" t="s">
        <v>4</v>
      </c>
      <c r="F528" s="222" t="s">
        <v>5</v>
      </c>
      <c r="G528" s="223" t="s">
        <v>6</v>
      </c>
      <c r="H528" s="223"/>
      <c r="I528" s="223"/>
      <c r="J528" s="223"/>
      <c r="K528" s="224" t="s">
        <v>7</v>
      </c>
      <c r="L528" s="224" t="s">
        <v>8</v>
      </c>
      <c r="M528" s="233"/>
      <c r="N528" s="233"/>
      <c r="O528" s="226"/>
      <c r="P528" s="225" t="s">
        <v>10</v>
      </c>
      <c r="Q528" s="226" t="s">
        <v>85</v>
      </c>
      <c r="R528" s="225" t="s">
        <v>14</v>
      </c>
      <c r="S528" s="226"/>
      <c r="T528" s="219"/>
    </row>
    <row r="529" spans="1:20" ht="42">
      <c r="A529" s="225"/>
      <c r="B529" s="226"/>
      <c r="C529" s="226"/>
      <c r="D529" s="226"/>
      <c r="E529" s="221"/>
      <c r="F529" s="222"/>
      <c r="G529" s="187" t="s">
        <v>26</v>
      </c>
      <c r="H529" s="187" t="s">
        <v>86</v>
      </c>
      <c r="I529" s="20" t="s">
        <v>24</v>
      </c>
      <c r="J529" s="18" t="s">
        <v>25</v>
      </c>
      <c r="K529" s="224"/>
      <c r="L529" s="224"/>
      <c r="M529" s="233"/>
      <c r="N529" s="233"/>
      <c r="O529" s="226"/>
      <c r="P529" s="225"/>
      <c r="Q529" s="226"/>
      <c r="R529" s="225"/>
      <c r="S529" s="226"/>
      <c r="T529" s="220"/>
    </row>
    <row r="530" spans="1:20">
      <c r="A530" s="4" t="s">
        <v>16</v>
      </c>
      <c r="B530" s="4" t="s">
        <v>17</v>
      </c>
      <c r="C530" s="4" t="s">
        <v>18</v>
      </c>
      <c r="D530" s="4" t="s">
        <v>19</v>
      </c>
      <c r="E530" s="13">
        <v>1</v>
      </c>
      <c r="F530" s="13">
        <v>2</v>
      </c>
      <c r="G530" s="13">
        <v>3</v>
      </c>
      <c r="H530" s="13">
        <v>4</v>
      </c>
      <c r="I530" s="13">
        <v>5</v>
      </c>
      <c r="J530" s="23">
        <v>6</v>
      </c>
      <c r="K530" s="4">
        <v>7</v>
      </c>
      <c r="L530" s="4">
        <v>8</v>
      </c>
      <c r="M530" s="4">
        <v>9</v>
      </c>
      <c r="N530" s="4">
        <v>10</v>
      </c>
      <c r="O530" s="30" t="s">
        <v>87</v>
      </c>
      <c r="P530" s="30">
        <v>12</v>
      </c>
      <c r="Q530" s="30">
        <v>13</v>
      </c>
      <c r="R530" s="30">
        <v>14</v>
      </c>
      <c r="S530" s="30" t="s">
        <v>88</v>
      </c>
      <c r="T530" s="2"/>
    </row>
    <row r="531" spans="1:20">
      <c r="A531" s="21">
        <v>1</v>
      </c>
      <c r="B531" s="39" t="s">
        <v>89</v>
      </c>
      <c r="C531" s="42" t="s">
        <v>60</v>
      </c>
      <c r="D531" s="46" t="s">
        <v>61</v>
      </c>
      <c r="E531" s="47">
        <v>5.0199999999999996</v>
      </c>
      <c r="F531" s="47">
        <v>0.35</v>
      </c>
      <c r="G531" s="25"/>
      <c r="H531" s="22"/>
      <c r="I531" s="48"/>
      <c r="J531" s="49">
        <f>30/100*(E531+F531+G531)</f>
        <v>1.6109999999999998</v>
      </c>
      <c r="K531" s="50">
        <f>E531+F531+G531+H531+I531+J531</f>
        <v>6.980999999999999</v>
      </c>
      <c r="L531" s="51">
        <f>K531*1490000</f>
        <v>10401689.999999998</v>
      </c>
      <c r="M531" s="52"/>
      <c r="N531" s="52"/>
      <c r="O531" s="51">
        <f>L531-M531+N531</f>
        <v>10401689.999999998</v>
      </c>
      <c r="P531" s="53">
        <f>((E531+F531+G531+I531)*1490000-M531)*9.5%</f>
        <v>760123.49999999988</v>
      </c>
      <c r="Q531" s="54"/>
      <c r="R531" s="53">
        <f>P531+Q531</f>
        <v>760123.49999999988</v>
      </c>
      <c r="S531" s="53">
        <f>O531-R531</f>
        <v>9641566.4999999981</v>
      </c>
      <c r="T531" s="41"/>
    </row>
    <row r="532" spans="1:20" ht="15.75">
      <c r="A532" s="21">
        <v>2</v>
      </c>
      <c r="B532" s="39" t="s">
        <v>21</v>
      </c>
      <c r="C532" s="40" t="s">
        <v>28</v>
      </c>
      <c r="D532" s="55" t="s">
        <v>27</v>
      </c>
      <c r="E532" s="24">
        <v>4.9800000000000004</v>
      </c>
      <c r="F532" s="56"/>
      <c r="G532" s="57">
        <f>E532*7%</f>
        <v>0.34860000000000008</v>
      </c>
      <c r="H532" s="10"/>
      <c r="I532" s="48"/>
      <c r="J532" s="49">
        <f>30/100*(E532+F532+G532)</f>
        <v>1.5985800000000001</v>
      </c>
      <c r="K532" s="50">
        <f>E532+F532+G532+H532+I532+J532</f>
        <v>6.9271800000000008</v>
      </c>
      <c r="L532" s="51">
        <f>K532*1490000</f>
        <v>10321498.200000001</v>
      </c>
      <c r="M532" s="58"/>
      <c r="N532" s="58"/>
      <c r="O532" s="51">
        <f>L532-M532+N532</f>
        <v>10321498.200000001</v>
      </c>
      <c r="P532" s="53">
        <f>((E532+F532+G532+I532)*1490000-M532)*10.5%</f>
        <v>833659.47000000009</v>
      </c>
      <c r="Q532" s="54"/>
      <c r="R532" s="53">
        <f t="shared" ref="R532:R567" si="241">P532+Q532</f>
        <v>833659.47000000009</v>
      </c>
      <c r="S532" s="53">
        <f t="shared" ref="S532" si="242">O532-R532</f>
        <v>9487838.7300000004</v>
      </c>
      <c r="T532" s="59">
        <v>7.0000000000000007E-2</v>
      </c>
    </row>
    <row r="533" spans="1:20" ht="15.75">
      <c r="A533" s="21">
        <v>3</v>
      </c>
      <c r="B533" s="39" t="s">
        <v>22</v>
      </c>
      <c r="C533" s="40" t="s">
        <v>30</v>
      </c>
      <c r="D533" s="55" t="s">
        <v>90</v>
      </c>
      <c r="E533" s="24">
        <v>4.8899999999999997</v>
      </c>
      <c r="F533" s="47">
        <v>0.15</v>
      </c>
      <c r="G533" s="57">
        <f>E533*5%</f>
        <v>0.2445</v>
      </c>
      <c r="H533" s="10"/>
      <c r="I533" s="48"/>
      <c r="J533" s="49">
        <f>30/100*(E533+F533+G533)</f>
        <v>1.58535</v>
      </c>
      <c r="K533" s="50">
        <f t="shared" ref="K533:K557" si="243">E533+F533+G533+H533+I533+J533</f>
        <v>6.8698500000000005</v>
      </c>
      <c r="L533" s="51">
        <f t="shared" ref="L533:L557" si="244">K533*1490000</f>
        <v>10236076.5</v>
      </c>
      <c r="M533" s="58"/>
      <c r="N533" s="58"/>
      <c r="O533" s="51">
        <f t="shared" ref="O533:O550" si="245">L533-M533+N533</f>
        <v>10236076.5</v>
      </c>
      <c r="P533" s="53">
        <f t="shared" ref="P533:P537" si="246">((E533+F533+G533+I533)*1490000-M533)*10.5%</f>
        <v>826760.02500000002</v>
      </c>
      <c r="Q533" s="54"/>
      <c r="R533" s="53">
        <f t="shared" si="241"/>
        <v>826760.02500000002</v>
      </c>
      <c r="S533" s="53">
        <f>O533-R533</f>
        <v>9409316.4749999996</v>
      </c>
      <c r="T533" s="59">
        <v>0.05</v>
      </c>
    </row>
    <row r="534" spans="1:20" ht="15.75">
      <c r="A534" s="21">
        <v>4</v>
      </c>
      <c r="B534" s="39" t="s">
        <v>21</v>
      </c>
      <c r="C534" s="40" t="s">
        <v>32</v>
      </c>
      <c r="D534" s="55" t="s">
        <v>29</v>
      </c>
      <c r="E534" s="24">
        <v>4.9800000000000004</v>
      </c>
      <c r="F534" s="47">
        <v>0.2</v>
      </c>
      <c r="G534" s="57">
        <f>E534*5%</f>
        <v>0.24900000000000003</v>
      </c>
      <c r="H534" s="10"/>
      <c r="I534" s="48"/>
      <c r="J534" s="49">
        <f t="shared" ref="J534" si="247">30/100*(E534+F534+G534)</f>
        <v>1.6287</v>
      </c>
      <c r="K534" s="50">
        <f t="shared" si="243"/>
        <v>7.0577000000000005</v>
      </c>
      <c r="L534" s="51">
        <f t="shared" si="244"/>
        <v>10515973</v>
      </c>
      <c r="M534" s="58"/>
      <c r="N534" s="58"/>
      <c r="O534" s="51">
        <f t="shared" si="245"/>
        <v>10515973</v>
      </c>
      <c r="P534" s="53">
        <f t="shared" si="246"/>
        <v>849367.04999999993</v>
      </c>
      <c r="Q534" s="54"/>
      <c r="R534" s="53">
        <f t="shared" si="241"/>
        <v>849367.04999999993</v>
      </c>
      <c r="S534" s="53">
        <f t="shared" ref="S534" si="248">O534-R534</f>
        <v>9666605.9499999993</v>
      </c>
      <c r="T534" s="59">
        <v>0.05</v>
      </c>
    </row>
    <row r="535" spans="1:20" ht="15.75">
      <c r="A535" s="21">
        <v>5</v>
      </c>
      <c r="B535" s="39" t="s">
        <v>21</v>
      </c>
      <c r="C535" s="40" t="s">
        <v>82</v>
      </c>
      <c r="D535" s="55" t="s">
        <v>29</v>
      </c>
      <c r="E535" s="24">
        <v>4.9800000000000004</v>
      </c>
      <c r="F535" s="47">
        <v>0.2</v>
      </c>
      <c r="G535" s="57">
        <f>E535*7%</f>
        <v>0.34860000000000008</v>
      </c>
      <c r="H535" s="10"/>
      <c r="I535" s="48"/>
      <c r="J535" s="49">
        <f>30/100*(E535+F535+G535)</f>
        <v>1.6585800000000002</v>
      </c>
      <c r="K535" s="50">
        <f t="shared" si="243"/>
        <v>7.1871800000000015</v>
      </c>
      <c r="L535" s="51">
        <f t="shared" si="244"/>
        <v>10708898.200000003</v>
      </c>
      <c r="M535" s="58"/>
      <c r="N535" s="58"/>
      <c r="O535" s="51">
        <f t="shared" si="245"/>
        <v>10708898.200000003</v>
      </c>
      <c r="P535" s="53">
        <f t="shared" si="246"/>
        <v>864949.47000000009</v>
      </c>
      <c r="Q535" s="54"/>
      <c r="R535" s="53">
        <f t="shared" si="241"/>
        <v>864949.47000000009</v>
      </c>
      <c r="S535" s="53">
        <f>O535-R535</f>
        <v>9843948.7300000023</v>
      </c>
      <c r="T535" s="59">
        <v>7.0000000000000007E-2</v>
      </c>
    </row>
    <row r="536" spans="1:20" ht="15.75">
      <c r="A536" s="21">
        <v>6</v>
      </c>
      <c r="B536" s="39" t="s">
        <v>21</v>
      </c>
      <c r="C536" s="40" t="s">
        <v>84</v>
      </c>
      <c r="D536" s="55" t="s">
        <v>62</v>
      </c>
      <c r="E536" s="24">
        <v>4.9800000000000004</v>
      </c>
      <c r="F536" s="47">
        <v>0.25</v>
      </c>
      <c r="G536" s="14"/>
      <c r="H536" s="10"/>
      <c r="I536" s="48"/>
      <c r="J536" s="49">
        <f t="shared" ref="J536" si="249">30/100*(E536+F536+G536)</f>
        <v>1.5690000000000002</v>
      </c>
      <c r="K536" s="50">
        <f t="shared" si="243"/>
        <v>6.7990000000000004</v>
      </c>
      <c r="L536" s="51">
        <f t="shared" si="244"/>
        <v>10130510</v>
      </c>
      <c r="M536" s="58"/>
      <c r="N536" s="58"/>
      <c r="O536" s="51">
        <f t="shared" si="245"/>
        <v>10130510</v>
      </c>
      <c r="P536" s="53">
        <f t="shared" si="246"/>
        <v>818233.50000000012</v>
      </c>
      <c r="Q536" s="54"/>
      <c r="R536" s="53">
        <f t="shared" si="241"/>
        <v>818233.50000000012</v>
      </c>
      <c r="S536" s="53">
        <f t="shared" ref="S536" si="250">O536-R536</f>
        <v>9312276.5</v>
      </c>
      <c r="T536" s="41"/>
    </row>
    <row r="537" spans="1:20" ht="15.75">
      <c r="A537" s="21">
        <v>7</v>
      </c>
      <c r="B537" s="39" t="s">
        <v>22</v>
      </c>
      <c r="C537" s="42" t="s">
        <v>31</v>
      </c>
      <c r="D537" s="55" t="s">
        <v>27</v>
      </c>
      <c r="E537" s="24">
        <v>4.8899999999999997</v>
      </c>
      <c r="F537" s="47"/>
      <c r="G537" s="57"/>
      <c r="H537" s="10"/>
      <c r="I537" s="48"/>
      <c r="J537" s="49">
        <f>30/100*(E537+F537+G537)</f>
        <v>1.4669999999999999</v>
      </c>
      <c r="K537" s="50">
        <f t="shared" si="243"/>
        <v>6.3569999999999993</v>
      </c>
      <c r="L537" s="51">
        <f t="shared" si="244"/>
        <v>9471929.9999999981</v>
      </c>
      <c r="M537" s="58"/>
      <c r="N537" s="58"/>
      <c r="O537" s="51">
        <f t="shared" si="245"/>
        <v>9471929.9999999981</v>
      </c>
      <c r="P537" s="53">
        <f t="shared" si="246"/>
        <v>765040.49999999988</v>
      </c>
      <c r="Q537" s="54"/>
      <c r="R537" s="53">
        <f t="shared" si="241"/>
        <v>765040.49999999988</v>
      </c>
      <c r="S537" s="53">
        <f>O537-R537</f>
        <v>8706889.4999999981</v>
      </c>
      <c r="T537" s="41"/>
    </row>
    <row r="538" spans="1:20" ht="15.75">
      <c r="A538" s="21">
        <v>8</v>
      </c>
      <c r="B538" s="39" t="s">
        <v>21</v>
      </c>
      <c r="C538" s="26" t="s">
        <v>70</v>
      </c>
      <c r="D538" s="55" t="s">
        <v>27</v>
      </c>
      <c r="E538" s="24">
        <v>4.9800000000000004</v>
      </c>
      <c r="F538" s="47"/>
      <c r="G538" s="14"/>
      <c r="H538" s="10"/>
      <c r="I538" s="48"/>
      <c r="J538" s="49">
        <f t="shared" ref="J538:J540" si="251">30/100*(E538+F538+G538)</f>
        <v>1.494</v>
      </c>
      <c r="K538" s="50">
        <f t="shared" si="243"/>
        <v>6.4740000000000002</v>
      </c>
      <c r="L538" s="51">
        <f t="shared" si="244"/>
        <v>9646260</v>
      </c>
      <c r="M538" s="58"/>
      <c r="N538" s="58"/>
      <c r="O538" s="51">
        <f t="shared" si="245"/>
        <v>9646260</v>
      </c>
      <c r="P538" s="53">
        <f>((E538+F538+G538+I538)*1490000-M538)*10.5%</f>
        <v>779121.00000000012</v>
      </c>
      <c r="Q538" s="54"/>
      <c r="R538" s="53">
        <f t="shared" si="241"/>
        <v>779121.00000000012</v>
      </c>
      <c r="S538" s="53">
        <f>O538-R538</f>
        <v>8867139</v>
      </c>
      <c r="T538" s="41"/>
    </row>
    <row r="539" spans="1:20" ht="15.75">
      <c r="A539" s="21">
        <v>9</v>
      </c>
      <c r="B539" s="39" t="s">
        <v>21</v>
      </c>
      <c r="C539" s="26" t="s">
        <v>33</v>
      </c>
      <c r="D539" s="55" t="s">
        <v>29</v>
      </c>
      <c r="E539" s="24">
        <v>4.6500000000000004</v>
      </c>
      <c r="F539" s="47">
        <v>0.2</v>
      </c>
      <c r="G539" s="14"/>
      <c r="H539" s="10"/>
      <c r="I539" s="48"/>
      <c r="J539" s="49">
        <f t="shared" si="251"/>
        <v>1.4550000000000001</v>
      </c>
      <c r="K539" s="50">
        <f t="shared" si="243"/>
        <v>6.3050000000000006</v>
      </c>
      <c r="L539" s="51">
        <f t="shared" si="244"/>
        <v>9394450</v>
      </c>
      <c r="M539" s="58"/>
      <c r="N539" s="58"/>
      <c r="O539" s="51">
        <f t="shared" si="245"/>
        <v>9394450</v>
      </c>
      <c r="P539" s="53">
        <f t="shared" ref="P539:P540" si="252">((E539+F539+G539+I539)*1490000-M539)*10.5%</f>
        <v>758782.50000000012</v>
      </c>
      <c r="Q539" s="54"/>
      <c r="R539" s="53">
        <f t="shared" si="241"/>
        <v>758782.50000000012</v>
      </c>
      <c r="S539" s="53">
        <f t="shared" ref="S539:S541" si="253">O539-R539</f>
        <v>8635667.5</v>
      </c>
      <c r="T539" s="41"/>
    </row>
    <row r="540" spans="1:20" ht="15.75">
      <c r="A540" s="21">
        <v>10</v>
      </c>
      <c r="B540" s="39" t="s">
        <v>21</v>
      </c>
      <c r="C540" s="26" t="s">
        <v>34</v>
      </c>
      <c r="D540" s="55" t="s">
        <v>27</v>
      </c>
      <c r="E540" s="24">
        <v>4.32</v>
      </c>
      <c r="F540" s="47"/>
      <c r="G540" s="14"/>
      <c r="H540" s="10"/>
      <c r="I540" s="48"/>
      <c r="J540" s="49">
        <f t="shared" si="251"/>
        <v>1.296</v>
      </c>
      <c r="K540" s="50">
        <f t="shared" si="243"/>
        <v>5.6160000000000005</v>
      </c>
      <c r="L540" s="51">
        <f t="shared" si="244"/>
        <v>8367840.0000000009</v>
      </c>
      <c r="M540" s="58"/>
      <c r="N540" s="58"/>
      <c r="O540" s="51">
        <f t="shared" si="245"/>
        <v>8367840.0000000009</v>
      </c>
      <c r="P540" s="53">
        <f t="shared" si="252"/>
        <v>675864</v>
      </c>
      <c r="Q540" s="54"/>
      <c r="R540" s="53">
        <f t="shared" si="241"/>
        <v>675864</v>
      </c>
      <c r="S540" s="53">
        <f t="shared" si="253"/>
        <v>7691976.0000000009</v>
      </c>
      <c r="T540" s="41"/>
    </row>
    <row r="541" spans="1:20">
      <c r="A541" s="21">
        <v>11</v>
      </c>
      <c r="B541" s="39" t="s">
        <v>21</v>
      </c>
      <c r="C541" s="42" t="s">
        <v>36</v>
      </c>
      <c r="D541" s="55" t="s">
        <v>29</v>
      </c>
      <c r="E541" s="24">
        <v>4.32</v>
      </c>
      <c r="F541" s="47">
        <v>0.2</v>
      </c>
      <c r="G541" s="33"/>
      <c r="H541" s="35"/>
      <c r="I541" s="48"/>
      <c r="J541" s="49">
        <f>30/100*(E541+F541+G541)</f>
        <v>1.3560000000000001</v>
      </c>
      <c r="K541" s="50">
        <f t="shared" si="243"/>
        <v>5.8760000000000003</v>
      </c>
      <c r="L541" s="51">
        <f t="shared" si="244"/>
        <v>8755240</v>
      </c>
      <c r="M541" s="58"/>
      <c r="N541" s="58"/>
      <c r="O541" s="51">
        <f t="shared" si="245"/>
        <v>8755240</v>
      </c>
      <c r="P541" s="53">
        <f>((E541+F541+G541+I541)*1490000-M541)*10.5%</f>
        <v>707154.00000000012</v>
      </c>
      <c r="Q541" s="54"/>
      <c r="R541" s="53">
        <f t="shared" si="241"/>
        <v>707154.00000000012</v>
      </c>
      <c r="S541" s="53">
        <f t="shared" si="253"/>
        <v>8048086</v>
      </c>
      <c r="T541" s="151"/>
    </row>
    <row r="542" spans="1:20">
      <c r="A542" s="21">
        <v>12</v>
      </c>
      <c r="B542" s="39" t="s">
        <v>64</v>
      </c>
      <c r="C542" s="26" t="s">
        <v>59</v>
      </c>
      <c r="D542" s="55" t="s">
        <v>35</v>
      </c>
      <c r="E542" s="24">
        <v>4.2699999999999996</v>
      </c>
      <c r="F542" s="47">
        <v>0.2</v>
      </c>
      <c r="G542" s="33"/>
      <c r="H542" s="34">
        <v>0.1</v>
      </c>
      <c r="I542" s="48"/>
      <c r="J542" s="49"/>
      <c r="K542" s="50">
        <f t="shared" si="243"/>
        <v>4.5699999999999994</v>
      </c>
      <c r="L542" s="51">
        <f t="shared" si="244"/>
        <v>6809299.9999999991</v>
      </c>
      <c r="M542" s="58"/>
      <c r="N542" s="58"/>
      <c r="O542" s="51">
        <f t="shared" si="245"/>
        <v>6809299.9999999991</v>
      </c>
      <c r="P542" s="53">
        <f>((E542+F542+G542+I542)*1490000-M542)*10.5%</f>
        <v>699331.5</v>
      </c>
      <c r="Q542" s="54"/>
      <c r="R542" s="53">
        <f t="shared" si="241"/>
        <v>699331.5</v>
      </c>
      <c r="S542" s="53">
        <f>O542-R542</f>
        <v>6109968.4999999991</v>
      </c>
      <c r="T542" s="151"/>
    </row>
    <row r="543" spans="1:20">
      <c r="A543" s="21">
        <v>13</v>
      </c>
      <c r="B543" s="39" t="s">
        <v>21</v>
      </c>
      <c r="C543" s="40" t="s">
        <v>69</v>
      </c>
      <c r="D543" s="55" t="s">
        <v>27</v>
      </c>
      <c r="E543" s="24">
        <v>4.6500000000000004</v>
      </c>
      <c r="F543" s="47"/>
      <c r="G543" s="33"/>
      <c r="H543" s="35"/>
      <c r="I543" s="48"/>
      <c r="J543" s="49">
        <f>30/100*(E543+F543+G543)</f>
        <v>1.395</v>
      </c>
      <c r="K543" s="50">
        <f t="shared" si="243"/>
        <v>6.0449999999999999</v>
      </c>
      <c r="L543" s="51">
        <f t="shared" si="244"/>
        <v>9007050</v>
      </c>
      <c r="M543" s="58"/>
      <c r="N543" s="58"/>
      <c r="O543" s="51">
        <f t="shared" si="245"/>
        <v>9007050</v>
      </c>
      <c r="P543" s="53">
        <f t="shared" ref="P543:P557" si="254">((E543+F543+G543+I543)*1490000-M543)*10.5%</f>
        <v>727492.50000000012</v>
      </c>
      <c r="Q543" s="54"/>
      <c r="R543" s="53">
        <f t="shared" si="241"/>
        <v>727492.50000000012</v>
      </c>
      <c r="S543" s="53">
        <f t="shared" ref="S543:S550" si="255">O543-R543</f>
        <v>8279557.5</v>
      </c>
      <c r="T543" s="150"/>
    </row>
    <row r="544" spans="1:20">
      <c r="A544" s="21">
        <v>14</v>
      </c>
      <c r="B544" s="39" t="s">
        <v>21</v>
      </c>
      <c r="C544" s="40" t="s">
        <v>37</v>
      </c>
      <c r="D544" s="55" t="s">
        <v>27</v>
      </c>
      <c r="E544" s="24">
        <v>4.32</v>
      </c>
      <c r="F544" s="24"/>
      <c r="G544" s="33"/>
      <c r="H544" s="35"/>
      <c r="I544" s="48"/>
      <c r="J544" s="49">
        <f>30/100*(E544+F544+G544)</f>
        <v>1.296</v>
      </c>
      <c r="K544" s="50">
        <f t="shared" si="243"/>
        <v>5.6160000000000005</v>
      </c>
      <c r="L544" s="51">
        <f t="shared" si="244"/>
        <v>8367840.0000000009</v>
      </c>
      <c r="M544" s="58"/>
      <c r="N544" s="58"/>
      <c r="O544" s="51">
        <f t="shared" si="245"/>
        <v>8367840.0000000009</v>
      </c>
      <c r="P544" s="53">
        <f t="shared" si="254"/>
        <v>675864</v>
      </c>
      <c r="Q544" s="54"/>
      <c r="R544" s="53">
        <f t="shared" si="241"/>
        <v>675864</v>
      </c>
      <c r="S544" s="53">
        <f t="shared" si="255"/>
        <v>7691976.0000000009</v>
      </c>
      <c r="T544" s="2"/>
    </row>
    <row r="545" spans="1:20">
      <c r="A545" s="21">
        <v>15</v>
      </c>
      <c r="B545" s="39" t="s">
        <v>21</v>
      </c>
      <c r="C545" s="40" t="s">
        <v>71</v>
      </c>
      <c r="D545" s="55" t="s">
        <v>27</v>
      </c>
      <c r="E545" s="24">
        <v>4.32</v>
      </c>
      <c r="F545" s="24"/>
      <c r="G545" s="33"/>
      <c r="H545" s="35"/>
      <c r="I545" s="48"/>
      <c r="J545" s="49">
        <f t="shared" ref="J545:J547" si="256">30/100*(E545+F545+G545)</f>
        <v>1.296</v>
      </c>
      <c r="K545" s="50">
        <f t="shared" si="243"/>
        <v>5.6160000000000005</v>
      </c>
      <c r="L545" s="51">
        <f t="shared" si="244"/>
        <v>8367840.0000000009</v>
      </c>
      <c r="M545" s="58"/>
      <c r="N545" s="58"/>
      <c r="O545" s="51">
        <f t="shared" si="245"/>
        <v>8367840.0000000009</v>
      </c>
      <c r="P545" s="53">
        <f t="shared" si="254"/>
        <v>675864</v>
      </c>
      <c r="Q545" s="54"/>
      <c r="R545" s="53">
        <f t="shared" si="241"/>
        <v>675864</v>
      </c>
      <c r="S545" s="53">
        <f t="shared" si="255"/>
        <v>7691976.0000000009</v>
      </c>
      <c r="T545" s="41" t="s">
        <v>321</v>
      </c>
    </row>
    <row r="546" spans="1:20">
      <c r="A546" s="21">
        <v>16</v>
      </c>
      <c r="B546" s="39" t="s">
        <v>21</v>
      </c>
      <c r="C546" s="40" t="s">
        <v>38</v>
      </c>
      <c r="D546" s="55" t="s">
        <v>27</v>
      </c>
      <c r="E546" s="24">
        <v>4.32</v>
      </c>
      <c r="F546" s="24"/>
      <c r="G546" s="33"/>
      <c r="H546" s="35"/>
      <c r="I546" s="48"/>
      <c r="J546" s="49">
        <f t="shared" si="256"/>
        <v>1.296</v>
      </c>
      <c r="K546" s="50">
        <f t="shared" si="243"/>
        <v>5.6160000000000005</v>
      </c>
      <c r="L546" s="51">
        <f t="shared" si="244"/>
        <v>8367840.0000000009</v>
      </c>
      <c r="M546" s="58"/>
      <c r="N546" s="58"/>
      <c r="O546" s="51">
        <f t="shared" si="245"/>
        <v>8367840.0000000009</v>
      </c>
      <c r="P546" s="53">
        <f t="shared" si="254"/>
        <v>675864</v>
      </c>
      <c r="Q546" s="54"/>
      <c r="R546" s="53">
        <f t="shared" si="241"/>
        <v>675864</v>
      </c>
      <c r="S546" s="53">
        <f t="shared" si="255"/>
        <v>7691976.0000000009</v>
      </c>
      <c r="T546" s="41"/>
    </row>
    <row r="547" spans="1:20">
      <c r="A547" s="21">
        <v>17</v>
      </c>
      <c r="B547" s="39" t="s">
        <v>21</v>
      </c>
      <c r="C547" s="40" t="s">
        <v>72</v>
      </c>
      <c r="D547" s="55" t="s">
        <v>27</v>
      </c>
      <c r="E547" s="24">
        <v>4.32</v>
      </c>
      <c r="F547" s="24"/>
      <c r="G547" s="33"/>
      <c r="H547" s="35"/>
      <c r="I547" s="48"/>
      <c r="J547" s="49">
        <f t="shared" si="256"/>
        <v>1.296</v>
      </c>
      <c r="K547" s="50">
        <f t="shared" si="243"/>
        <v>5.6160000000000005</v>
      </c>
      <c r="L547" s="51">
        <f t="shared" si="244"/>
        <v>8367840.0000000009</v>
      </c>
      <c r="M547" s="58"/>
      <c r="N547" s="58"/>
      <c r="O547" s="51">
        <f t="shared" si="245"/>
        <v>8367840.0000000009</v>
      </c>
      <c r="P547" s="53">
        <f t="shared" si="254"/>
        <v>675864</v>
      </c>
      <c r="Q547" s="54"/>
      <c r="R547" s="53">
        <f t="shared" si="241"/>
        <v>675864</v>
      </c>
      <c r="S547" s="53">
        <f t="shared" si="255"/>
        <v>7691976.0000000009</v>
      </c>
      <c r="T547" s="41"/>
    </row>
    <row r="548" spans="1:20">
      <c r="A548" s="21">
        <v>18</v>
      </c>
      <c r="B548" s="39" t="s">
        <v>21</v>
      </c>
      <c r="C548" s="40" t="s">
        <v>91</v>
      </c>
      <c r="D548" s="55" t="s">
        <v>27</v>
      </c>
      <c r="E548" s="24">
        <v>4.6500000000000004</v>
      </c>
      <c r="F548" s="24">
        <v>0.15</v>
      </c>
      <c r="G548" s="60"/>
      <c r="H548" s="35"/>
      <c r="I548" s="48"/>
      <c r="J548" s="49">
        <f>30/100*(E548+F548+G548)</f>
        <v>1.4400000000000002</v>
      </c>
      <c r="K548" s="61">
        <f t="shared" si="243"/>
        <v>6.2400000000000011</v>
      </c>
      <c r="L548" s="62">
        <f t="shared" si="244"/>
        <v>9297600.0000000019</v>
      </c>
      <c r="M548" s="63"/>
      <c r="N548" s="63"/>
      <c r="O548" s="62">
        <f t="shared" si="245"/>
        <v>9297600.0000000019</v>
      </c>
      <c r="P548" s="64">
        <f t="shared" si="254"/>
        <v>750960.00000000012</v>
      </c>
      <c r="Q548" s="54"/>
      <c r="R548" s="64">
        <f t="shared" si="241"/>
        <v>750960.00000000012</v>
      </c>
      <c r="S548" s="64">
        <f t="shared" si="255"/>
        <v>8546640.0000000019</v>
      </c>
      <c r="T548" s="41" t="s">
        <v>323</v>
      </c>
    </row>
    <row r="549" spans="1:20">
      <c r="A549" s="21">
        <v>19</v>
      </c>
      <c r="B549" s="39" t="s">
        <v>21</v>
      </c>
      <c r="C549" s="40" t="s">
        <v>39</v>
      </c>
      <c r="D549" s="55" t="s">
        <v>27</v>
      </c>
      <c r="E549" s="24">
        <v>4.32</v>
      </c>
      <c r="F549" s="24"/>
      <c r="G549" s="33"/>
      <c r="H549" s="36"/>
      <c r="I549" s="48"/>
      <c r="J549" s="49">
        <f>30/100*(E549+F549+G549)</f>
        <v>1.296</v>
      </c>
      <c r="K549" s="50">
        <f t="shared" si="243"/>
        <v>5.6160000000000005</v>
      </c>
      <c r="L549" s="51">
        <f t="shared" si="244"/>
        <v>8367840.0000000009</v>
      </c>
      <c r="M549" s="58"/>
      <c r="N549" s="58"/>
      <c r="O549" s="51">
        <f t="shared" si="245"/>
        <v>8367840.0000000009</v>
      </c>
      <c r="P549" s="53">
        <f t="shared" si="254"/>
        <v>675864</v>
      </c>
      <c r="Q549" s="54"/>
      <c r="R549" s="53">
        <f t="shared" si="241"/>
        <v>675864</v>
      </c>
      <c r="S549" s="53">
        <f t="shared" si="255"/>
        <v>7691976.0000000009</v>
      </c>
      <c r="T549" s="41"/>
    </row>
    <row r="550" spans="1:20">
      <c r="A550" s="21">
        <v>20</v>
      </c>
      <c r="B550" s="39" t="s">
        <v>22</v>
      </c>
      <c r="C550" s="40" t="s">
        <v>40</v>
      </c>
      <c r="D550" s="55" t="s">
        <v>90</v>
      </c>
      <c r="E550" s="24">
        <v>3.96</v>
      </c>
      <c r="F550" s="24">
        <v>0.15</v>
      </c>
      <c r="G550" s="33"/>
      <c r="H550" s="36"/>
      <c r="I550" s="48"/>
      <c r="J550" s="49">
        <f t="shared" ref="J550" si="257">30/100*(E550+F550+G550)</f>
        <v>1.2330000000000001</v>
      </c>
      <c r="K550" s="50">
        <f t="shared" si="243"/>
        <v>5.343</v>
      </c>
      <c r="L550" s="51">
        <f t="shared" si="244"/>
        <v>7961070</v>
      </c>
      <c r="M550" s="58"/>
      <c r="N550" s="58"/>
      <c r="O550" s="51">
        <f t="shared" si="245"/>
        <v>7961070</v>
      </c>
      <c r="P550" s="53">
        <f t="shared" si="254"/>
        <v>643009.50000000012</v>
      </c>
      <c r="Q550" s="54"/>
      <c r="R550" s="53">
        <f t="shared" si="241"/>
        <v>643009.50000000012</v>
      </c>
      <c r="S550" s="53">
        <f t="shared" si="255"/>
        <v>7318060.5</v>
      </c>
      <c r="T550" s="41"/>
    </row>
    <row r="551" spans="1:20" ht="15.75">
      <c r="A551" s="21">
        <v>21</v>
      </c>
      <c r="B551" s="39" t="s">
        <v>21</v>
      </c>
      <c r="C551" s="40" t="s">
        <v>73</v>
      </c>
      <c r="D551" s="55" t="s">
        <v>27</v>
      </c>
      <c r="E551" s="24">
        <v>3.99</v>
      </c>
      <c r="F551" s="24"/>
      <c r="G551" s="14"/>
      <c r="H551" s="10"/>
      <c r="I551" s="48"/>
      <c r="J551" s="49">
        <f>30/100*(E551+F551+G551)</f>
        <v>1.1970000000000001</v>
      </c>
      <c r="K551" s="50">
        <f t="shared" si="243"/>
        <v>5.1870000000000003</v>
      </c>
      <c r="L551" s="51">
        <f t="shared" si="244"/>
        <v>7728630</v>
      </c>
      <c r="M551" s="65"/>
      <c r="N551" s="65"/>
      <c r="O551" s="51">
        <f>L551-M551+N551</f>
        <v>7728630</v>
      </c>
      <c r="P551" s="53">
        <f t="shared" si="254"/>
        <v>624235.5</v>
      </c>
      <c r="Q551" s="54"/>
      <c r="R551" s="53">
        <f t="shared" si="241"/>
        <v>624235.5</v>
      </c>
      <c r="S551" s="53">
        <f>O551-R551-N551</f>
        <v>7104394.5</v>
      </c>
      <c r="T551" s="41"/>
    </row>
    <row r="552" spans="1:20" ht="15.75">
      <c r="A552" s="21">
        <v>22</v>
      </c>
      <c r="B552" s="39" t="s">
        <v>21</v>
      </c>
      <c r="C552" s="40" t="s">
        <v>41</v>
      </c>
      <c r="D552" s="55" t="s">
        <v>27</v>
      </c>
      <c r="E552" s="24">
        <v>3.99</v>
      </c>
      <c r="F552" s="56"/>
      <c r="G552" s="14"/>
      <c r="H552" s="10"/>
      <c r="I552" s="48"/>
      <c r="J552" s="49">
        <f t="shared" ref="J552:J557" si="258">30/100*(E552+F552+G552)</f>
        <v>1.1970000000000001</v>
      </c>
      <c r="K552" s="50">
        <f t="shared" si="243"/>
        <v>5.1870000000000003</v>
      </c>
      <c r="L552" s="51">
        <f t="shared" si="244"/>
        <v>7728630</v>
      </c>
      <c r="M552" s="58"/>
      <c r="N552" s="58"/>
      <c r="O552" s="51">
        <f t="shared" ref="O552:O557" si="259">L552-M552+N552</f>
        <v>7728630</v>
      </c>
      <c r="P552" s="53">
        <f t="shared" si="254"/>
        <v>624235.5</v>
      </c>
      <c r="Q552" s="54"/>
      <c r="R552" s="53">
        <f t="shared" si="241"/>
        <v>624235.5</v>
      </c>
      <c r="S552" s="53">
        <f t="shared" ref="S552:S555" si="260">O552-R552</f>
        <v>7104394.5</v>
      </c>
      <c r="T552" s="41"/>
    </row>
    <row r="553" spans="1:20">
      <c r="A553" s="21">
        <v>23</v>
      </c>
      <c r="B553" s="39" t="s">
        <v>21</v>
      </c>
      <c r="C553" s="40" t="s">
        <v>42</v>
      </c>
      <c r="D553" s="55" t="s">
        <v>27</v>
      </c>
      <c r="E553" s="24">
        <v>4.32</v>
      </c>
      <c r="F553" s="56"/>
      <c r="G553" s="14"/>
      <c r="H553" s="34">
        <v>0.1</v>
      </c>
      <c r="I553" s="48"/>
      <c r="J553" s="49">
        <f t="shared" si="258"/>
        <v>1.296</v>
      </c>
      <c r="K553" s="50">
        <f t="shared" si="243"/>
        <v>5.7160000000000002</v>
      </c>
      <c r="L553" s="51">
        <f t="shared" si="244"/>
        <v>8516840</v>
      </c>
      <c r="M553" s="58"/>
      <c r="N553" s="58"/>
      <c r="O553" s="51">
        <f t="shared" si="259"/>
        <v>8516840</v>
      </c>
      <c r="P553" s="53">
        <f t="shared" si="254"/>
        <v>675864</v>
      </c>
      <c r="Q553" s="54"/>
      <c r="R553" s="53">
        <f t="shared" si="241"/>
        <v>675864</v>
      </c>
      <c r="S553" s="53">
        <f t="shared" si="260"/>
        <v>7840976</v>
      </c>
      <c r="T553" s="41" t="s">
        <v>251</v>
      </c>
    </row>
    <row r="554" spans="1:20" ht="15.75">
      <c r="A554" s="21">
        <v>24</v>
      </c>
      <c r="B554" s="39" t="s">
        <v>21</v>
      </c>
      <c r="C554" s="26" t="s">
        <v>74</v>
      </c>
      <c r="D554" s="55" t="s">
        <v>27</v>
      </c>
      <c r="E554" s="24">
        <v>3.99</v>
      </c>
      <c r="F554" s="56"/>
      <c r="G554" s="14"/>
      <c r="H554" s="10"/>
      <c r="I554" s="66"/>
      <c r="J554" s="67">
        <f t="shared" si="258"/>
        <v>1.1970000000000001</v>
      </c>
      <c r="K554" s="68">
        <f t="shared" si="243"/>
        <v>5.1870000000000003</v>
      </c>
      <c r="L554" s="69">
        <f t="shared" si="244"/>
        <v>7728630</v>
      </c>
      <c r="M554" s="70"/>
      <c r="N554" s="70"/>
      <c r="O554" s="69">
        <f t="shared" si="259"/>
        <v>7728630</v>
      </c>
      <c r="P554" s="71">
        <f t="shared" si="254"/>
        <v>624235.5</v>
      </c>
      <c r="Q554" s="54"/>
      <c r="R554" s="71">
        <f t="shared" si="241"/>
        <v>624235.5</v>
      </c>
      <c r="S554" s="71">
        <f t="shared" si="260"/>
        <v>7104394.5</v>
      </c>
      <c r="T554" s="41"/>
    </row>
    <row r="555" spans="1:20" ht="15.75">
      <c r="A555" s="21">
        <v>25</v>
      </c>
      <c r="B555" s="72" t="s">
        <v>21</v>
      </c>
      <c r="C555" s="26" t="s">
        <v>43</v>
      </c>
      <c r="D555" s="55" t="s">
        <v>27</v>
      </c>
      <c r="E555" s="24">
        <v>3.99</v>
      </c>
      <c r="F555" s="56"/>
      <c r="G555" s="14"/>
      <c r="H555" s="10"/>
      <c r="I555" s="66"/>
      <c r="J555" s="67">
        <f t="shared" si="258"/>
        <v>1.1970000000000001</v>
      </c>
      <c r="K555" s="68">
        <f t="shared" si="243"/>
        <v>5.1870000000000003</v>
      </c>
      <c r="L555" s="69">
        <f t="shared" si="244"/>
        <v>7728630</v>
      </c>
      <c r="M555" s="70"/>
      <c r="N555" s="70"/>
      <c r="O555" s="69">
        <f t="shared" si="259"/>
        <v>7728630</v>
      </c>
      <c r="P555" s="71">
        <f t="shared" si="254"/>
        <v>624235.5</v>
      </c>
      <c r="Q555" s="54"/>
      <c r="R555" s="71">
        <f t="shared" si="241"/>
        <v>624235.5</v>
      </c>
      <c r="S555" s="71">
        <f t="shared" si="260"/>
        <v>7104394.5</v>
      </c>
      <c r="T555" s="41"/>
    </row>
    <row r="556" spans="1:20" ht="15.75">
      <c r="A556" s="21">
        <v>26</v>
      </c>
      <c r="B556" s="39" t="s">
        <v>21</v>
      </c>
      <c r="C556" s="26" t="s">
        <v>58</v>
      </c>
      <c r="D556" s="55" t="s">
        <v>27</v>
      </c>
      <c r="E556" s="24">
        <v>3.66</v>
      </c>
      <c r="F556" s="56"/>
      <c r="G556" s="14"/>
      <c r="H556" s="10"/>
      <c r="I556" s="48"/>
      <c r="J556" s="49">
        <f t="shared" si="258"/>
        <v>1.0980000000000001</v>
      </c>
      <c r="K556" s="50">
        <f t="shared" si="243"/>
        <v>4.758</v>
      </c>
      <c r="L556" s="51">
        <f t="shared" si="244"/>
        <v>7089420</v>
      </c>
      <c r="M556" s="58"/>
      <c r="N556" s="58"/>
      <c r="O556" s="51">
        <f t="shared" si="259"/>
        <v>7089420</v>
      </c>
      <c r="P556" s="53">
        <f t="shared" si="254"/>
        <v>572607</v>
      </c>
      <c r="Q556" s="54"/>
      <c r="R556" s="53">
        <f t="shared" si="241"/>
        <v>572607</v>
      </c>
      <c r="S556" s="53">
        <f>O556-R556</f>
        <v>6516813</v>
      </c>
      <c r="T556" s="41" t="s">
        <v>323</v>
      </c>
    </row>
    <row r="557" spans="1:20" ht="15.75">
      <c r="A557" s="21">
        <v>27</v>
      </c>
      <c r="B557" s="39" t="s">
        <v>21</v>
      </c>
      <c r="C557" s="40" t="s">
        <v>44</v>
      </c>
      <c r="D557" s="55" t="s">
        <v>27</v>
      </c>
      <c r="E557" s="24">
        <v>3.99</v>
      </c>
      <c r="F557" s="56"/>
      <c r="G557" s="14"/>
      <c r="H557" s="10"/>
      <c r="I557" s="48"/>
      <c r="J557" s="49">
        <f t="shared" si="258"/>
        <v>1.1970000000000001</v>
      </c>
      <c r="K557" s="50">
        <f t="shared" si="243"/>
        <v>5.1870000000000003</v>
      </c>
      <c r="L557" s="51">
        <f t="shared" si="244"/>
        <v>7728630</v>
      </c>
      <c r="M557" s="58"/>
      <c r="N557" s="58"/>
      <c r="O557" s="51">
        <f t="shared" si="259"/>
        <v>7728630</v>
      </c>
      <c r="P557" s="53">
        <f t="shared" si="254"/>
        <v>624235.5</v>
      </c>
      <c r="Q557" s="54"/>
      <c r="R557" s="53">
        <f t="shared" si="241"/>
        <v>624235.5</v>
      </c>
      <c r="S557" s="53">
        <f t="shared" ref="S557" si="261">O557-R557</f>
        <v>7104394.5</v>
      </c>
      <c r="T557" s="41"/>
    </row>
    <row r="558" spans="1:20" ht="15.75">
      <c r="A558" s="21">
        <v>28</v>
      </c>
      <c r="B558" s="39" t="s">
        <v>53</v>
      </c>
      <c r="C558" s="73" t="s">
        <v>75</v>
      </c>
      <c r="D558" s="55" t="s">
        <v>83</v>
      </c>
      <c r="E558" s="74">
        <v>3.46</v>
      </c>
      <c r="F558" s="56">
        <v>0.15</v>
      </c>
      <c r="G558" s="14"/>
      <c r="H558" s="10"/>
      <c r="I558" s="48"/>
      <c r="J558" s="49"/>
      <c r="K558" s="50">
        <f>E558+F558+G558+H558+I558+J558</f>
        <v>3.61</v>
      </c>
      <c r="L558" s="51">
        <f>K558*1490000</f>
        <v>5378900</v>
      </c>
      <c r="M558" s="65"/>
      <c r="N558" s="75"/>
      <c r="O558" s="51">
        <f>L558-M558+N558</f>
        <v>5378900</v>
      </c>
      <c r="P558" s="53">
        <f>((E558+F558+G558+I558)*1490000)*10.5%</f>
        <v>564784.5</v>
      </c>
      <c r="Q558" s="54"/>
      <c r="R558" s="53">
        <f t="shared" si="241"/>
        <v>564784.5</v>
      </c>
      <c r="S558" s="53">
        <f>O558-R558</f>
        <v>4814115.5</v>
      </c>
      <c r="T558" s="41"/>
    </row>
    <row r="559" spans="1:20" ht="15.75">
      <c r="A559" s="21">
        <v>29</v>
      </c>
      <c r="B559" s="39" t="s">
        <v>89</v>
      </c>
      <c r="C559" s="42" t="s">
        <v>46</v>
      </c>
      <c r="D559" s="55" t="s">
        <v>27</v>
      </c>
      <c r="E559" s="24">
        <v>4</v>
      </c>
      <c r="F559" s="24"/>
      <c r="G559" s="14"/>
      <c r="H559" s="10"/>
      <c r="I559" s="48"/>
      <c r="J559" s="49">
        <f t="shared" ref="J559:J560" si="262">30/100*(E559+F559+G559)</f>
        <v>1.2</v>
      </c>
      <c r="K559" s="50">
        <f t="shared" ref="K559:K561" si="263">E559+F559+G559+H559+I559+J559</f>
        <v>5.2</v>
      </c>
      <c r="L559" s="51">
        <f t="shared" ref="L559:L563" si="264">K559*1490000</f>
        <v>7748000</v>
      </c>
      <c r="M559" s="58"/>
      <c r="N559" s="58"/>
      <c r="O559" s="51">
        <f t="shared" ref="O559:O567" si="265">L559-M559+N559</f>
        <v>7748000</v>
      </c>
      <c r="P559" s="53">
        <f t="shared" ref="P559:P561" si="266">((E559+F559+G559+I559)*1490000-M559)*10.5%</f>
        <v>625800</v>
      </c>
      <c r="Q559" s="54"/>
      <c r="R559" s="53">
        <f t="shared" si="241"/>
        <v>625800</v>
      </c>
      <c r="S559" s="76">
        <f t="shared" ref="S559:S560" si="267">O559-R559</f>
        <v>7122200</v>
      </c>
      <c r="T559" s="41" t="s">
        <v>321</v>
      </c>
    </row>
    <row r="560" spans="1:20" ht="15.75">
      <c r="A560" s="21">
        <v>30</v>
      </c>
      <c r="B560" s="39" t="s">
        <v>21</v>
      </c>
      <c r="C560" s="40" t="s">
        <v>47</v>
      </c>
      <c r="D560" s="55" t="s">
        <v>27</v>
      </c>
      <c r="E560" s="24">
        <v>3.99</v>
      </c>
      <c r="F560" s="24"/>
      <c r="G560" s="14"/>
      <c r="H560" s="10"/>
      <c r="I560" s="48"/>
      <c r="J560" s="49">
        <f t="shared" si="262"/>
        <v>1.1970000000000001</v>
      </c>
      <c r="K560" s="50">
        <f t="shared" si="263"/>
        <v>5.1870000000000003</v>
      </c>
      <c r="L560" s="51">
        <f t="shared" si="264"/>
        <v>7728630</v>
      </c>
      <c r="M560" s="53"/>
      <c r="N560" s="58"/>
      <c r="O560" s="51">
        <f t="shared" si="265"/>
        <v>7728630</v>
      </c>
      <c r="P560" s="53">
        <f t="shared" si="266"/>
        <v>624235.5</v>
      </c>
      <c r="Q560" s="54"/>
      <c r="R560" s="53">
        <f t="shared" si="241"/>
        <v>624235.5</v>
      </c>
      <c r="S560" s="76">
        <f t="shared" si="267"/>
        <v>7104394.5</v>
      </c>
      <c r="T560" s="41"/>
    </row>
    <row r="561" spans="1:20" ht="15.75">
      <c r="A561" s="21">
        <v>31</v>
      </c>
      <c r="B561" s="39" t="s">
        <v>21</v>
      </c>
      <c r="C561" s="40" t="s">
        <v>48</v>
      </c>
      <c r="D561" s="55" t="s">
        <v>27</v>
      </c>
      <c r="E561" s="24">
        <v>3.99</v>
      </c>
      <c r="F561" s="24"/>
      <c r="G561" s="14"/>
      <c r="H561" s="10"/>
      <c r="I561" s="48"/>
      <c r="J561" s="49">
        <f>30/100*(E561+F561+G561)</f>
        <v>1.1970000000000001</v>
      </c>
      <c r="K561" s="50">
        <f t="shared" si="263"/>
        <v>5.1870000000000003</v>
      </c>
      <c r="L561" s="51">
        <f t="shared" si="264"/>
        <v>7728630</v>
      </c>
      <c r="M561" s="53"/>
      <c r="N561" s="58"/>
      <c r="O561" s="51">
        <f t="shared" si="265"/>
        <v>7728630</v>
      </c>
      <c r="P561" s="53">
        <f t="shared" si="266"/>
        <v>624235.5</v>
      </c>
      <c r="Q561" s="54"/>
      <c r="R561" s="53">
        <f t="shared" si="241"/>
        <v>624235.5</v>
      </c>
      <c r="S561" s="76">
        <f>O561-R561</f>
        <v>7104394.5</v>
      </c>
      <c r="T561" s="41" t="s">
        <v>323</v>
      </c>
    </row>
    <row r="562" spans="1:20" ht="15.75">
      <c r="A562" s="21">
        <v>32</v>
      </c>
      <c r="B562" s="39" t="s">
        <v>21</v>
      </c>
      <c r="C562" s="40" t="s">
        <v>92</v>
      </c>
      <c r="D562" s="55" t="s">
        <v>27</v>
      </c>
      <c r="E562" s="24">
        <v>3.33</v>
      </c>
      <c r="F562" s="24"/>
      <c r="G562" s="14"/>
      <c r="H562" s="10"/>
      <c r="I562" s="48"/>
      <c r="J562" s="49">
        <f>30/100*(E562+F562+G562)</f>
        <v>0.999</v>
      </c>
      <c r="K562" s="50">
        <f>E562+F562+G562+H562+I562+J562</f>
        <v>4.3289999999999997</v>
      </c>
      <c r="L562" s="51">
        <f t="shared" si="264"/>
        <v>6450210</v>
      </c>
      <c r="M562" s="53"/>
      <c r="N562" s="53"/>
      <c r="O562" s="51">
        <f t="shared" si="265"/>
        <v>6450210</v>
      </c>
      <c r="P562" s="53">
        <f>((E562+F562+G562+I562)*1490000)*10.5%</f>
        <v>520978.5</v>
      </c>
      <c r="Q562" s="54"/>
      <c r="R562" s="53">
        <f t="shared" si="241"/>
        <v>520978.5</v>
      </c>
      <c r="S562" s="76">
        <f t="shared" ref="S562:S563" si="268">O562-R562</f>
        <v>5929231.5</v>
      </c>
      <c r="T562" s="41"/>
    </row>
    <row r="563" spans="1:20" ht="15.75">
      <c r="A563" s="21">
        <v>33</v>
      </c>
      <c r="B563" s="39" t="s">
        <v>21</v>
      </c>
      <c r="C563" s="40" t="s">
        <v>93</v>
      </c>
      <c r="D563" s="55" t="s">
        <v>27</v>
      </c>
      <c r="E563" s="24">
        <v>3.66</v>
      </c>
      <c r="F563" s="24"/>
      <c r="G563" s="14"/>
      <c r="H563" s="10"/>
      <c r="I563" s="48"/>
      <c r="J563" s="49">
        <f>30/100*(E563+F563+G563)</f>
        <v>1.0980000000000001</v>
      </c>
      <c r="K563" s="50">
        <f>E563+F563+G563+H563+I563+J563</f>
        <v>4.758</v>
      </c>
      <c r="L563" s="51">
        <f t="shared" si="264"/>
        <v>7089420</v>
      </c>
      <c r="M563" s="53"/>
      <c r="N563" s="53"/>
      <c r="O563" s="51">
        <f t="shared" si="265"/>
        <v>7089420</v>
      </c>
      <c r="P563" s="53">
        <f>((E563+F563+G563+I563)*1490000)*10.5%</f>
        <v>572607</v>
      </c>
      <c r="Q563" s="54"/>
      <c r="R563" s="53">
        <f t="shared" si="241"/>
        <v>572607</v>
      </c>
      <c r="S563" s="76">
        <f t="shared" si="268"/>
        <v>6516813</v>
      </c>
      <c r="T563" s="41" t="s">
        <v>321</v>
      </c>
    </row>
    <row r="564" spans="1:20" ht="15.75">
      <c r="A564" s="21">
        <v>34</v>
      </c>
      <c r="B564" s="39" t="s">
        <v>94</v>
      </c>
      <c r="C564" s="42" t="s">
        <v>95</v>
      </c>
      <c r="D564" s="77" t="s">
        <v>27</v>
      </c>
      <c r="E564" s="24">
        <v>3</v>
      </c>
      <c r="F564" s="24"/>
      <c r="G564" s="14"/>
      <c r="H564" s="11"/>
      <c r="I564" s="48"/>
      <c r="J564" s="49">
        <f>30/100*(E564+F564+G564)</f>
        <v>0.89999999999999991</v>
      </c>
      <c r="K564" s="50">
        <f>E564+F564+G564+H564+I564+J564</f>
        <v>3.9</v>
      </c>
      <c r="L564" s="51">
        <f>K564*1490000</f>
        <v>5811000</v>
      </c>
      <c r="M564" s="65"/>
      <c r="N564" s="65"/>
      <c r="O564" s="51">
        <f t="shared" si="265"/>
        <v>5811000</v>
      </c>
      <c r="P564" s="53">
        <f t="shared" ref="P564:P565" si="269">((E564+F564+G564+I564)*1490000-M564)*10.5%</f>
        <v>469350</v>
      </c>
      <c r="Q564" s="54"/>
      <c r="R564" s="53">
        <f t="shared" si="241"/>
        <v>469350</v>
      </c>
      <c r="S564" s="76">
        <f>O564-R564-N564</f>
        <v>5341650</v>
      </c>
      <c r="T564" s="41"/>
    </row>
    <row r="565" spans="1:20">
      <c r="A565" s="21">
        <v>35</v>
      </c>
      <c r="B565" s="39" t="s">
        <v>23</v>
      </c>
      <c r="C565" s="40" t="s">
        <v>49</v>
      </c>
      <c r="D565" s="55" t="s">
        <v>45</v>
      </c>
      <c r="E565" s="24">
        <v>3.34</v>
      </c>
      <c r="F565" s="24"/>
      <c r="G565" s="14"/>
      <c r="H565" s="24">
        <v>0.2</v>
      </c>
      <c r="I565" s="48"/>
      <c r="J565" s="49"/>
      <c r="K565" s="50">
        <f t="shared" ref="K565" si="270">E565+F565+G565+H565+I565+J565</f>
        <v>3.54</v>
      </c>
      <c r="L565" s="51">
        <f t="shared" ref="L565" si="271">K565*1490000</f>
        <v>5274600</v>
      </c>
      <c r="M565" s="53"/>
      <c r="N565" s="58"/>
      <c r="O565" s="51">
        <f t="shared" si="265"/>
        <v>5274600</v>
      </c>
      <c r="P565" s="53">
        <f t="shared" si="269"/>
        <v>522543</v>
      </c>
      <c r="Q565" s="54"/>
      <c r="R565" s="53">
        <f t="shared" si="241"/>
        <v>522543</v>
      </c>
      <c r="S565" s="76">
        <f>O565-R565</f>
        <v>4752057</v>
      </c>
      <c r="T565" s="41"/>
    </row>
    <row r="566" spans="1:20">
      <c r="A566" s="21">
        <v>36</v>
      </c>
      <c r="B566" s="39" t="s">
        <v>52</v>
      </c>
      <c r="C566" s="40" t="s">
        <v>50</v>
      </c>
      <c r="D566" s="77" t="s">
        <v>45</v>
      </c>
      <c r="E566" s="24">
        <v>2.86</v>
      </c>
      <c r="F566" s="24"/>
      <c r="G566" s="14"/>
      <c r="H566" s="24">
        <v>0.2</v>
      </c>
      <c r="I566" s="48"/>
      <c r="J566" s="49"/>
      <c r="K566" s="50">
        <f>E566+F566+G566+H566+I566+J566</f>
        <v>3.06</v>
      </c>
      <c r="L566" s="51">
        <f>K566*1490000</f>
        <v>4559400</v>
      </c>
      <c r="M566" s="53"/>
      <c r="N566" s="51"/>
      <c r="O566" s="51">
        <f t="shared" si="265"/>
        <v>4559400</v>
      </c>
      <c r="P566" s="53">
        <f>((E566+F566+G566+I566)*1490000)*10.5%</f>
        <v>447447</v>
      </c>
      <c r="Q566" s="53"/>
      <c r="R566" s="53">
        <f t="shared" si="241"/>
        <v>447447</v>
      </c>
      <c r="S566" s="76">
        <f>O566-R566</f>
        <v>4111953</v>
      </c>
      <c r="T566" s="41"/>
    </row>
    <row r="567" spans="1:20" ht="15.75">
      <c r="A567" s="21">
        <v>37</v>
      </c>
      <c r="B567" s="39" t="s">
        <v>54</v>
      </c>
      <c r="C567" s="40" t="s">
        <v>51</v>
      </c>
      <c r="D567" s="77" t="s">
        <v>96</v>
      </c>
      <c r="E567" s="24"/>
      <c r="F567" s="24"/>
      <c r="G567" s="14"/>
      <c r="H567" s="11"/>
      <c r="I567" s="48"/>
      <c r="J567" s="49"/>
      <c r="K567" s="50"/>
      <c r="L567" s="51">
        <v>3920000</v>
      </c>
      <c r="M567" s="53"/>
      <c r="N567" s="58"/>
      <c r="O567" s="51">
        <f t="shared" si="265"/>
        <v>3920000</v>
      </c>
      <c r="P567" s="53">
        <f>O567*10.5%</f>
        <v>411600</v>
      </c>
      <c r="Q567" s="53"/>
      <c r="R567" s="53">
        <f t="shared" si="241"/>
        <v>411600</v>
      </c>
      <c r="S567" s="76">
        <f>O567-R567</f>
        <v>3508400</v>
      </c>
      <c r="T567" s="2"/>
    </row>
    <row r="568" spans="1:20" ht="15.75">
      <c r="A568" s="2"/>
      <c r="B568" s="2"/>
      <c r="C568" s="3" t="s">
        <v>14</v>
      </c>
      <c r="D568" s="5"/>
      <c r="E568" s="27">
        <f t="shared" ref="E568" si="272">SUM(E531:E567)</f>
        <v>151.68</v>
      </c>
      <c r="F568" s="78">
        <f>SUM(F531:F567)</f>
        <v>2.1999999999999997</v>
      </c>
      <c r="G568" s="27">
        <f>SUM(G531:G567)</f>
        <v>1.1907000000000001</v>
      </c>
      <c r="H568" s="78">
        <f>SUM(H531:H567)</f>
        <v>0.60000000000000009</v>
      </c>
      <c r="I568" s="27">
        <f>SUM(I531:I567)</f>
        <v>0</v>
      </c>
      <c r="J568" s="27">
        <f t="shared" ref="J568" si="273">SUM(J531:J567)</f>
        <v>42.237210000000012</v>
      </c>
      <c r="K568" s="27">
        <f>SUM(K531:K567)</f>
        <v>197.9079100000001</v>
      </c>
      <c r="L568" s="28">
        <f t="shared" ref="L568:O568" si="274">SUM(L531:L567)</f>
        <v>298802785.89999998</v>
      </c>
      <c r="M568" s="75">
        <f t="shared" si="274"/>
        <v>0</v>
      </c>
      <c r="N568" s="75">
        <f t="shared" si="274"/>
        <v>0</v>
      </c>
      <c r="O568" s="28">
        <f t="shared" si="274"/>
        <v>298802785.89999998</v>
      </c>
      <c r="P568" s="28">
        <f>SUM(P531:P567)</f>
        <v>24592398.015000001</v>
      </c>
      <c r="Q568" s="28">
        <f>SUM(Q531:Q567)</f>
        <v>0</v>
      </c>
      <c r="R568" s="28">
        <f t="shared" ref="R568" si="275">SUM(R531:R567)</f>
        <v>24592398.015000001</v>
      </c>
      <c r="S568" s="32">
        <f>SUM(S531:S567)</f>
        <v>274210387.88499999</v>
      </c>
      <c r="T568" s="2"/>
    </row>
    <row r="569" spans="1:20">
      <c r="E569" s="9"/>
      <c r="F569" s="9"/>
      <c r="G569" s="9"/>
      <c r="H569" s="9"/>
      <c r="I569" s="19"/>
      <c r="J569" s="17"/>
    </row>
    <row r="570" spans="1:20" ht="15.75" customHeight="1">
      <c r="A570" s="1" t="s">
        <v>100</v>
      </c>
      <c r="D570" s="210" t="s">
        <v>319</v>
      </c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</row>
    <row r="571" spans="1:20" ht="15.75">
      <c r="A571" s="6"/>
      <c r="E571" s="9"/>
      <c r="F571" s="9"/>
      <c r="G571" s="9"/>
      <c r="H571" s="9"/>
      <c r="I571" s="19"/>
      <c r="J571" s="17"/>
      <c r="S571" s="15"/>
    </row>
    <row r="572" spans="1:20">
      <c r="A572" s="7"/>
      <c r="B572" s="7"/>
      <c r="C572" s="129">
        <f>L568+L503+L443</f>
        <v>890347484.69999993</v>
      </c>
      <c r="D572" s="211" t="s">
        <v>342</v>
      </c>
      <c r="E572" s="212"/>
      <c r="F572" s="212"/>
      <c r="G572" s="37"/>
      <c r="H572" s="37"/>
      <c r="I572" s="19"/>
      <c r="J572" s="17"/>
      <c r="N572" s="43"/>
      <c r="O572" s="43"/>
      <c r="P572" s="213" t="s">
        <v>322</v>
      </c>
      <c r="Q572" s="213"/>
      <c r="R572" s="213"/>
      <c r="S572" s="213"/>
    </row>
    <row r="573" spans="1:20">
      <c r="A573" s="214" t="s">
        <v>77</v>
      </c>
      <c r="B573" s="214"/>
      <c r="C573" s="214"/>
      <c r="D573" s="214"/>
      <c r="E573" s="214"/>
      <c r="F573" s="9"/>
      <c r="G573" s="44"/>
      <c r="H573" s="44"/>
      <c r="I573" s="19"/>
      <c r="J573" s="214" t="s">
        <v>79</v>
      </c>
      <c r="K573" s="214"/>
      <c r="L573" s="214"/>
      <c r="M573" s="214"/>
      <c r="P573" s="215" t="s">
        <v>65</v>
      </c>
      <c r="Q573" s="215"/>
      <c r="R573" s="215"/>
      <c r="S573" s="215"/>
    </row>
    <row r="574" spans="1:20">
      <c r="A574" s="216" t="s">
        <v>78</v>
      </c>
      <c r="B574" s="216"/>
      <c r="C574" s="216"/>
      <c r="D574" s="216"/>
      <c r="E574" s="9"/>
      <c r="F574" s="9"/>
      <c r="G574" s="9"/>
      <c r="H574" s="9"/>
      <c r="I574" s="19"/>
      <c r="J574" s="216" t="s">
        <v>80</v>
      </c>
      <c r="K574" s="216"/>
      <c r="L574" s="216"/>
      <c r="P574" s="217" t="s">
        <v>66</v>
      </c>
      <c r="Q574" s="217"/>
      <c r="R574" s="217"/>
      <c r="S574" s="217"/>
    </row>
    <row r="575" spans="1:20">
      <c r="E575" s="9"/>
      <c r="F575" s="9"/>
      <c r="G575" s="9"/>
      <c r="H575" s="9"/>
      <c r="I575" s="19"/>
      <c r="J575" s="17"/>
    </row>
    <row r="576" spans="1:20">
      <c r="B576" s="152"/>
      <c r="C576" s="79"/>
      <c r="D576" s="152"/>
      <c r="E576" s="9"/>
      <c r="F576" s="9"/>
      <c r="G576" s="9"/>
      <c r="H576" s="9"/>
      <c r="I576" s="19"/>
      <c r="J576" s="17"/>
    </row>
    <row r="577" spans="1:20" ht="15.75">
      <c r="B577" s="152"/>
      <c r="C577" s="153"/>
      <c r="D577" s="152"/>
      <c r="E577" s="9"/>
      <c r="F577" s="9"/>
      <c r="G577" s="9"/>
      <c r="H577" s="9"/>
      <c r="I577" s="19"/>
      <c r="J577" s="17"/>
      <c r="L577" s="12"/>
      <c r="P577" s="16"/>
    </row>
    <row r="578" spans="1:20" ht="15.75">
      <c r="B578" s="152"/>
      <c r="C578" s="153"/>
      <c r="D578" s="152"/>
      <c r="E578" s="9"/>
      <c r="F578" s="9"/>
      <c r="G578" s="9"/>
      <c r="H578" s="9"/>
      <c r="I578" s="19"/>
      <c r="J578" s="17"/>
    </row>
    <row r="579" spans="1:20" ht="15.75">
      <c r="B579" s="208" t="s">
        <v>267</v>
      </c>
      <c r="C579" s="208"/>
      <c r="D579" s="208"/>
      <c r="E579" s="9"/>
      <c r="F579" s="9"/>
      <c r="G579" s="9"/>
      <c r="H579" s="9"/>
      <c r="I579" s="19"/>
      <c r="J579" s="209" t="s">
        <v>59</v>
      </c>
      <c r="K579" s="209"/>
      <c r="L579" s="209"/>
      <c r="M579" s="209"/>
      <c r="P579" s="209" t="s">
        <v>81</v>
      </c>
      <c r="Q579" s="209"/>
      <c r="R579" s="209"/>
      <c r="S579" s="209"/>
    </row>
    <row r="586" spans="1:20" ht="15.75">
      <c r="A586" s="227" t="s">
        <v>55</v>
      </c>
      <c r="B586" s="227"/>
      <c r="C586" s="227"/>
      <c r="D586" s="227"/>
      <c r="E586" s="227"/>
      <c r="F586" s="227"/>
      <c r="G586" s="227"/>
      <c r="H586" s="227"/>
      <c r="I586" s="19"/>
      <c r="J586" s="17"/>
      <c r="Q586" s="228" t="s">
        <v>301</v>
      </c>
      <c r="R586" s="228"/>
      <c r="S586" s="228"/>
    </row>
    <row r="587" spans="1:20">
      <c r="A587" s="229" t="s">
        <v>67</v>
      </c>
      <c r="B587" s="229"/>
      <c r="C587" s="229"/>
      <c r="D587" s="229"/>
      <c r="E587" s="229"/>
      <c r="F587" s="229"/>
      <c r="G587" s="229"/>
      <c r="H587" s="9"/>
      <c r="I587" s="19"/>
      <c r="J587" s="17"/>
      <c r="R587" s="230" t="s">
        <v>68</v>
      </c>
      <c r="S587" s="230"/>
    </row>
    <row r="588" spans="1:20" ht="15.75">
      <c r="A588" s="227" t="s">
        <v>56</v>
      </c>
      <c r="B588" s="227"/>
      <c r="C588" s="227"/>
      <c r="D588" s="227"/>
      <c r="E588" s="227"/>
      <c r="F588" s="227"/>
      <c r="G588" s="227"/>
      <c r="H588" s="9"/>
      <c r="I588" s="19"/>
      <c r="J588" s="17"/>
      <c r="R588" s="29" t="s">
        <v>63</v>
      </c>
    </row>
    <row r="589" spans="1:20" ht="20.25">
      <c r="A589" s="231" t="s">
        <v>76</v>
      </c>
      <c r="B589" s="231"/>
      <c r="C589" s="231"/>
      <c r="D589" s="231"/>
      <c r="E589" s="231"/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</row>
    <row r="590" spans="1:20" ht="18.75">
      <c r="A590" s="232" t="s">
        <v>334</v>
      </c>
      <c r="B590" s="232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</row>
    <row r="591" spans="1:20">
      <c r="A591" s="225" t="s">
        <v>0</v>
      </c>
      <c r="B591" s="226" t="s">
        <v>1</v>
      </c>
      <c r="C591" s="226" t="s">
        <v>2</v>
      </c>
      <c r="D591" s="226" t="s">
        <v>3</v>
      </c>
      <c r="E591" s="226" t="s">
        <v>20</v>
      </c>
      <c r="F591" s="226"/>
      <c r="G591" s="226"/>
      <c r="H591" s="226"/>
      <c r="I591" s="226"/>
      <c r="J591" s="226"/>
      <c r="K591" s="226"/>
      <c r="L591" s="226"/>
      <c r="M591" s="233" t="s">
        <v>9</v>
      </c>
      <c r="N591" s="233" t="s">
        <v>11</v>
      </c>
      <c r="O591" s="226" t="s">
        <v>12</v>
      </c>
      <c r="P591" s="234" t="s">
        <v>13</v>
      </c>
      <c r="Q591" s="235"/>
      <c r="R591" s="236"/>
      <c r="S591" s="226" t="s">
        <v>15</v>
      </c>
      <c r="T591" s="218" t="s">
        <v>57</v>
      </c>
    </row>
    <row r="592" spans="1:20">
      <c r="A592" s="225"/>
      <c r="B592" s="226"/>
      <c r="C592" s="226"/>
      <c r="D592" s="226"/>
      <c r="E592" s="221" t="s">
        <v>4</v>
      </c>
      <c r="F592" s="222" t="s">
        <v>5</v>
      </c>
      <c r="G592" s="223" t="s">
        <v>6</v>
      </c>
      <c r="H592" s="223"/>
      <c r="I592" s="223"/>
      <c r="J592" s="223"/>
      <c r="K592" s="224" t="s">
        <v>7</v>
      </c>
      <c r="L592" s="224" t="s">
        <v>8</v>
      </c>
      <c r="M592" s="233"/>
      <c r="N592" s="233"/>
      <c r="O592" s="226"/>
      <c r="P592" s="225" t="s">
        <v>10</v>
      </c>
      <c r="Q592" s="226" t="s">
        <v>85</v>
      </c>
      <c r="R592" s="225" t="s">
        <v>14</v>
      </c>
      <c r="S592" s="226"/>
      <c r="T592" s="219"/>
    </row>
    <row r="593" spans="1:20" ht="42">
      <c r="A593" s="225"/>
      <c r="B593" s="226"/>
      <c r="C593" s="226"/>
      <c r="D593" s="226"/>
      <c r="E593" s="221"/>
      <c r="F593" s="222"/>
      <c r="G593" s="187" t="s">
        <v>26</v>
      </c>
      <c r="H593" s="187" t="s">
        <v>86</v>
      </c>
      <c r="I593" s="20" t="s">
        <v>24</v>
      </c>
      <c r="J593" s="18" t="s">
        <v>25</v>
      </c>
      <c r="K593" s="224"/>
      <c r="L593" s="224"/>
      <c r="M593" s="233"/>
      <c r="N593" s="233"/>
      <c r="O593" s="226"/>
      <c r="P593" s="225"/>
      <c r="Q593" s="226"/>
      <c r="R593" s="225"/>
      <c r="S593" s="226"/>
      <c r="T593" s="220"/>
    </row>
    <row r="594" spans="1:20">
      <c r="A594" s="4" t="s">
        <v>16</v>
      </c>
      <c r="B594" s="4" t="s">
        <v>17</v>
      </c>
      <c r="C594" s="4" t="s">
        <v>18</v>
      </c>
      <c r="D594" s="4" t="s">
        <v>19</v>
      </c>
      <c r="E594" s="13">
        <v>1</v>
      </c>
      <c r="F594" s="13">
        <v>2</v>
      </c>
      <c r="G594" s="13">
        <v>3</v>
      </c>
      <c r="H594" s="13">
        <v>4</v>
      </c>
      <c r="I594" s="13">
        <v>5</v>
      </c>
      <c r="J594" s="23">
        <v>6</v>
      </c>
      <c r="K594" s="4">
        <v>7</v>
      </c>
      <c r="L594" s="4">
        <v>8</v>
      </c>
      <c r="M594" s="4">
        <v>9</v>
      </c>
      <c r="N594" s="4">
        <v>10</v>
      </c>
      <c r="O594" s="30" t="s">
        <v>87</v>
      </c>
      <c r="P594" s="30">
        <v>12</v>
      </c>
      <c r="Q594" s="30">
        <v>13</v>
      </c>
      <c r="R594" s="30">
        <v>14</v>
      </c>
      <c r="S594" s="30" t="s">
        <v>88</v>
      </c>
      <c r="T594" s="2"/>
    </row>
    <row r="595" spans="1:20">
      <c r="A595" s="21">
        <v>1</v>
      </c>
      <c r="B595" s="39" t="s">
        <v>89</v>
      </c>
      <c r="C595" s="42" t="s">
        <v>60</v>
      </c>
      <c r="D595" s="46" t="s">
        <v>61</v>
      </c>
      <c r="E595" s="47">
        <v>5.0199999999999996</v>
      </c>
      <c r="F595" s="47">
        <v>0.35</v>
      </c>
      <c r="G595" s="25"/>
      <c r="H595" s="22"/>
      <c r="I595" s="48"/>
      <c r="J595" s="49">
        <f>30/100*(E595+F595+G595)</f>
        <v>1.6109999999999998</v>
      </c>
      <c r="K595" s="50">
        <f>E595+F595+G595+H595+I595+J595</f>
        <v>6.980999999999999</v>
      </c>
      <c r="L595" s="51">
        <f>K595*1490000</f>
        <v>10401689.999999998</v>
      </c>
      <c r="M595" s="52"/>
      <c r="N595" s="52"/>
      <c r="O595" s="51">
        <f>L595-M595+N595</f>
        <v>10401689.999999998</v>
      </c>
      <c r="P595" s="53">
        <f>((E595+F595+G595+I595)*1490000-M595)*9.5%</f>
        <v>760123.49999999988</v>
      </c>
      <c r="Q595" s="54"/>
      <c r="R595" s="53">
        <f>P595+Q595</f>
        <v>760123.49999999988</v>
      </c>
      <c r="S595" s="53">
        <f>O595-R595</f>
        <v>9641566.4999999981</v>
      </c>
      <c r="T595" s="41"/>
    </row>
    <row r="596" spans="1:20" ht="15.75">
      <c r="A596" s="21">
        <v>2</v>
      </c>
      <c r="B596" s="39" t="s">
        <v>21</v>
      </c>
      <c r="C596" s="40" t="s">
        <v>28</v>
      </c>
      <c r="D596" s="55" t="s">
        <v>27</v>
      </c>
      <c r="E596" s="24">
        <v>4.9800000000000004</v>
      </c>
      <c r="F596" s="56"/>
      <c r="G596" s="57">
        <f>E596*7%</f>
        <v>0.34860000000000008</v>
      </c>
      <c r="H596" s="10"/>
      <c r="I596" s="48"/>
      <c r="J596" s="49">
        <f>30/100*(E596+F596+G596)</f>
        <v>1.5985800000000001</v>
      </c>
      <c r="K596" s="50">
        <f>E596+F596+G596+H596+I596+J596</f>
        <v>6.9271800000000008</v>
      </c>
      <c r="L596" s="51">
        <f>K596*1490000</f>
        <v>10321498.200000001</v>
      </c>
      <c r="M596" s="58"/>
      <c r="N596" s="58"/>
      <c r="O596" s="51">
        <f>L596-M596+N596</f>
        <v>10321498.200000001</v>
      </c>
      <c r="P596" s="53">
        <f>((E596+F596+G596+I596)*1490000-M596)*10.5%</f>
        <v>833659.47000000009</v>
      </c>
      <c r="Q596" s="54"/>
      <c r="R596" s="53">
        <f t="shared" ref="R596:R631" si="276">P596+Q596</f>
        <v>833659.47000000009</v>
      </c>
      <c r="S596" s="53">
        <f t="shared" ref="S596" si="277">O596-R596</f>
        <v>9487838.7300000004</v>
      </c>
      <c r="T596" s="59"/>
    </row>
    <row r="597" spans="1:20" ht="15.75">
      <c r="A597" s="21">
        <v>3</v>
      </c>
      <c r="B597" s="39" t="s">
        <v>22</v>
      </c>
      <c r="C597" s="40" t="s">
        <v>30</v>
      </c>
      <c r="D597" s="55" t="s">
        <v>90</v>
      </c>
      <c r="E597" s="24">
        <v>4.8899999999999997</v>
      </c>
      <c r="F597" s="47">
        <v>0.15</v>
      </c>
      <c r="G597" s="57">
        <f>E597*5%</f>
        <v>0.2445</v>
      </c>
      <c r="H597" s="10"/>
      <c r="I597" s="48"/>
      <c r="J597" s="49">
        <f>30/100*(E597+F597+G597)</f>
        <v>1.58535</v>
      </c>
      <c r="K597" s="50">
        <f t="shared" ref="K597:K621" si="278">E597+F597+G597+H597+I597+J597</f>
        <v>6.8698500000000005</v>
      </c>
      <c r="L597" s="51">
        <f t="shared" ref="L597:L621" si="279">K597*1490000</f>
        <v>10236076.5</v>
      </c>
      <c r="M597" s="58"/>
      <c r="N597" s="58"/>
      <c r="O597" s="51">
        <f t="shared" ref="O597:O614" si="280">L597-M597+N597</f>
        <v>10236076.5</v>
      </c>
      <c r="P597" s="53">
        <f t="shared" ref="P597:P601" si="281">((E597+F597+G597+I597)*1490000-M597)*10.5%</f>
        <v>826760.02500000002</v>
      </c>
      <c r="Q597" s="54"/>
      <c r="R597" s="53">
        <f t="shared" si="276"/>
        <v>826760.02500000002</v>
      </c>
      <c r="S597" s="53">
        <f>O597-R597</f>
        <v>9409316.4749999996</v>
      </c>
      <c r="T597" s="59"/>
    </row>
    <row r="598" spans="1:20" ht="15.75">
      <c r="A598" s="21">
        <v>4</v>
      </c>
      <c r="B598" s="39" t="s">
        <v>21</v>
      </c>
      <c r="C598" s="40" t="s">
        <v>32</v>
      </c>
      <c r="D598" s="55" t="s">
        <v>29</v>
      </c>
      <c r="E598" s="24">
        <v>4.9800000000000004</v>
      </c>
      <c r="F598" s="47">
        <v>0.2</v>
      </c>
      <c r="G598" s="57">
        <f>E598*5%</f>
        <v>0.24900000000000003</v>
      </c>
      <c r="H598" s="10"/>
      <c r="I598" s="48"/>
      <c r="J598" s="49">
        <f t="shared" ref="J598" si="282">30/100*(E598+F598+G598)</f>
        <v>1.6287</v>
      </c>
      <c r="K598" s="50">
        <f t="shared" si="278"/>
        <v>7.0577000000000005</v>
      </c>
      <c r="L598" s="51">
        <f t="shared" si="279"/>
        <v>10515973</v>
      </c>
      <c r="M598" s="58"/>
      <c r="N598" s="58"/>
      <c r="O598" s="51">
        <f t="shared" si="280"/>
        <v>10515973</v>
      </c>
      <c r="P598" s="53">
        <f t="shared" si="281"/>
        <v>849367.04999999993</v>
      </c>
      <c r="Q598" s="54"/>
      <c r="R598" s="53">
        <f t="shared" si="276"/>
        <v>849367.04999999993</v>
      </c>
      <c r="S598" s="53">
        <f t="shared" ref="S598" si="283">O598-R598</f>
        <v>9666605.9499999993</v>
      </c>
      <c r="T598" s="59"/>
    </row>
    <row r="599" spans="1:20" ht="15.75">
      <c r="A599" s="21">
        <v>5</v>
      </c>
      <c r="B599" s="39" t="s">
        <v>21</v>
      </c>
      <c r="C599" s="40" t="s">
        <v>82</v>
      </c>
      <c r="D599" s="55" t="s">
        <v>29</v>
      </c>
      <c r="E599" s="24">
        <v>4.9800000000000004</v>
      </c>
      <c r="F599" s="47">
        <v>0.2</v>
      </c>
      <c r="G599" s="57">
        <f>E599*7%</f>
        <v>0.34860000000000008</v>
      </c>
      <c r="H599" s="10"/>
      <c r="I599" s="48"/>
      <c r="J599" s="49">
        <f>30/100*(E599+F599+G599)</f>
        <v>1.6585800000000002</v>
      </c>
      <c r="K599" s="50">
        <f t="shared" si="278"/>
        <v>7.1871800000000015</v>
      </c>
      <c r="L599" s="51">
        <f t="shared" si="279"/>
        <v>10708898.200000003</v>
      </c>
      <c r="M599" s="58"/>
      <c r="N599" s="58"/>
      <c r="O599" s="51">
        <f t="shared" si="280"/>
        <v>10708898.200000003</v>
      </c>
      <c r="P599" s="53">
        <f t="shared" si="281"/>
        <v>864949.47000000009</v>
      </c>
      <c r="Q599" s="54"/>
      <c r="R599" s="53">
        <f t="shared" si="276"/>
        <v>864949.47000000009</v>
      </c>
      <c r="S599" s="53">
        <f>O599-R599</f>
        <v>9843948.7300000023</v>
      </c>
      <c r="T599" s="59"/>
    </row>
    <row r="600" spans="1:20" ht="15.75">
      <c r="A600" s="21">
        <v>6</v>
      </c>
      <c r="B600" s="39" t="s">
        <v>21</v>
      </c>
      <c r="C600" s="40" t="s">
        <v>84</v>
      </c>
      <c r="D600" s="55" t="s">
        <v>62</v>
      </c>
      <c r="E600" s="24">
        <v>4.9800000000000004</v>
      </c>
      <c r="F600" s="47">
        <v>0.25</v>
      </c>
      <c r="G600" s="14"/>
      <c r="H600" s="10"/>
      <c r="I600" s="48"/>
      <c r="J600" s="49">
        <f t="shared" ref="J600" si="284">30/100*(E600+F600+G600)</f>
        <v>1.5690000000000002</v>
      </c>
      <c r="K600" s="50">
        <f t="shared" si="278"/>
        <v>6.7990000000000004</v>
      </c>
      <c r="L600" s="51">
        <f t="shared" si="279"/>
        <v>10130510</v>
      </c>
      <c r="M600" s="58"/>
      <c r="N600" s="58"/>
      <c r="O600" s="51">
        <f t="shared" si="280"/>
        <v>10130510</v>
      </c>
      <c r="P600" s="53">
        <f t="shared" si="281"/>
        <v>818233.50000000012</v>
      </c>
      <c r="Q600" s="54"/>
      <c r="R600" s="53">
        <f t="shared" si="276"/>
        <v>818233.50000000012</v>
      </c>
      <c r="S600" s="53">
        <f t="shared" ref="S600" si="285">O600-R600</f>
        <v>9312276.5</v>
      </c>
      <c r="T600" s="41"/>
    </row>
    <row r="601" spans="1:20" ht="15.75">
      <c r="A601" s="21">
        <v>7</v>
      </c>
      <c r="B601" s="39" t="s">
        <v>22</v>
      </c>
      <c r="C601" s="42" t="s">
        <v>31</v>
      </c>
      <c r="D601" s="55" t="s">
        <v>27</v>
      </c>
      <c r="E601" s="24">
        <v>4.8899999999999997</v>
      </c>
      <c r="F601" s="47"/>
      <c r="G601" s="57"/>
      <c r="H601" s="10"/>
      <c r="I601" s="48"/>
      <c r="J601" s="49">
        <f>30/100*(E601+F601+G601)</f>
        <v>1.4669999999999999</v>
      </c>
      <c r="K601" s="50">
        <f t="shared" si="278"/>
        <v>6.3569999999999993</v>
      </c>
      <c r="L601" s="51">
        <f t="shared" si="279"/>
        <v>9471929.9999999981</v>
      </c>
      <c r="M601" s="58"/>
      <c r="N601" s="58"/>
      <c r="O601" s="51">
        <f t="shared" si="280"/>
        <v>9471929.9999999981</v>
      </c>
      <c r="P601" s="53">
        <f t="shared" si="281"/>
        <v>765040.49999999988</v>
      </c>
      <c r="Q601" s="54"/>
      <c r="R601" s="53">
        <f t="shared" si="276"/>
        <v>765040.49999999988</v>
      </c>
      <c r="S601" s="53">
        <f>O601-R601</f>
        <v>8706889.4999999981</v>
      </c>
      <c r="T601" s="41"/>
    </row>
    <row r="602" spans="1:20" ht="15.75">
      <c r="A602" s="21">
        <v>8</v>
      </c>
      <c r="B602" s="39" t="s">
        <v>21</v>
      </c>
      <c r="C602" s="26" t="s">
        <v>70</v>
      </c>
      <c r="D602" s="55" t="s">
        <v>27</v>
      </c>
      <c r="E602" s="24">
        <v>4.9800000000000004</v>
      </c>
      <c r="F602" s="47"/>
      <c r="G602" s="14"/>
      <c r="H602" s="10"/>
      <c r="I602" s="48"/>
      <c r="J602" s="49">
        <f t="shared" ref="J602:J604" si="286">30/100*(E602+F602+G602)</f>
        <v>1.494</v>
      </c>
      <c r="K602" s="50">
        <f t="shared" si="278"/>
        <v>6.4740000000000002</v>
      </c>
      <c r="L602" s="51">
        <f t="shared" si="279"/>
        <v>9646260</v>
      </c>
      <c r="M602" s="58"/>
      <c r="N602" s="58"/>
      <c r="O602" s="51">
        <f t="shared" si="280"/>
        <v>9646260</v>
      </c>
      <c r="P602" s="53">
        <f>((E602+F602+G602+I602)*1490000-M602)*10.5%</f>
        <v>779121.00000000012</v>
      </c>
      <c r="Q602" s="54"/>
      <c r="R602" s="53">
        <f t="shared" si="276"/>
        <v>779121.00000000012</v>
      </c>
      <c r="S602" s="53">
        <f>O602-R602</f>
        <v>8867139</v>
      </c>
      <c r="T602" s="41"/>
    </row>
    <row r="603" spans="1:20" ht="15.75">
      <c r="A603" s="21">
        <v>9</v>
      </c>
      <c r="B603" s="39" t="s">
        <v>21</v>
      </c>
      <c r="C603" s="26" t="s">
        <v>33</v>
      </c>
      <c r="D603" s="55" t="s">
        <v>29</v>
      </c>
      <c r="E603" s="24">
        <v>4.6500000000000004</v>
      </c>
      <c r="F603" s="47">
        <v>0.2</v>
      </c>
      <c r="G603" s="14"/>
      <c r="H603" s="10"/>
      <c r="I603" s="48"/>
      <c r="J603" s="49">
        <f t="shared" si="286"/>
        <v>1.4550000000000001</v>
      </c>
      <c r="K603" s="50">
        <f t="shared" si="278"/>
        <v>6.3050000000000006</v>
      </c>
      <c r="L603" s="51">
        <f t="shared" si="279"/>
        <v>9394450</v>
      </c>
      <c r="M603" s="58"/>
      <c r="N603" s="58"/>
      <c r="O603" s="51">
        <f t="shared" si="280"/>
        <v>9394450</v>
      </c>
      <c r="P603" s="53">
        <f t="shared" ref="P603:P604" si="287">((E603+F603+G603+I603)*1490000-M603)*10.5%</f>
        <v>758782.50000000012</v>
      </c>
      <c r="Q603" s="54"/>
      <c r="R603" s="53">
        <f t="shared" si="276"/>
        <v>758782.50000000012</v>
      </c>
      <c r="S603" s="53">
        <f t="shared" ref="S603:S605" si="288">O603-R603</f>
        <v>8635667.5</v>
      </c>
      <c r="T603" s="41"/>
    </row>
    <row r="604" spans="1:20" ht="15.75">
      <c r="A604" s="21">
        <v>10</v>
      </c>
      <c r="B604" s="39" t="s">
        <v>21</v>
      </c>
      <c r="C604" s="26" t="s">
        <v>34</v>
      </c>
      <c r="D604" s="55" t="s">
        <v>27</v>
      </c>
      <c r="E604" s="24">
        <v>4.32</v>
      </c>
      <c r="F604" s="47"/>
      <c r="G604" s="14"/>
      <c r="H604" s="10"/>
      <c r="I604" s="48"/>
      <c r="J604" s="49">
        <f t="shared" si="286"/>
        <v>1.296</v>
      </c>
      <c r="K604" s="50">
        <f t="shared" si="278"/>
        <v>5.6160000000000005</v>
      </c>
      <c r="L604" s="51">
        <f t="shared" si="279"/>
        <v>8367840.0000000009</v>
      </c>
      <c r="M604" s="58"/>
      <c r="N604" s="58"/>
      <c r="O604" s="51">
        <f t="shared" si="280"/>
        <v>8367840.0000000009</v>
      </c>
      <c r="P604" s="53">
        <f t="shared" si="287"/>
        <v>675864</v>
      </c>
      <c r="Q604" s="54"/>
      <c r="R604" s="53">
        <f t="shared" si="276"/>
        <v>675864</v>
      </c>
      <c r="S604" s="53">
        <f t="shared" si="288"/>
        <v>7691976.0000000009</v>
      </c>
      <c r="T604" s="41"/>
    </row>
    <row r="605" spans="1:20">
      <c r="A605" s="21">
        <v>11</v>
      </c>
      <c r="B605" s="39" t="s">
        <v>21</v>
      </c>
      <c r="C605" s="42" t="s">
        <v>36</v>
      </c>
      <c r="D605" s="55" t="s">
        <v>29</v>
      </c>
      <c r="E605" s="24">
        <v>4.32</v>
      </c>
      <c r="F605" s="47">
        <v>0.2</v>
      </c>
      <c r="G605" s="33"/>
      <c r="H605" s="35"/>
      <c r="I605" s="48"/>
      <c r="J605" s="49">
        <f>30/100*(E605+F605+G605)</f>
        <v>1.3560000000000001</v>
      </c>
      <c r="K605" s="50">
        <f t="shared" si="278"/>
        <v>5.8760000000000003</v>
      </c>
      <c r="L605" s="51">
        <f t="shared" si="279"/>
        <v>8755240</v>
      </c>
      <c r="M605" s="58"/>
      <c r="N605" s="58"/>
      <c r="O605" s="51">
        <f t="shared" si="280"/>
        <v>8755240</v>
      </c>
      <c r="P605" s="53">
        <f>((E605+F605+G605+I605)*1490000-M605)*10.5%</f>
        <v>707154.00000000012</v>
      </c>
      <c r="Q605" s="54"/>
      <c r="R605" s="53">
        <f t="shared" si="276"/>
        <v>707154.00000000012</v>
      </c>
      <c r="S605" s="53">
        <f t="shared" si="288"/>
        <v>8048086</v>
      </c>
      <c r="T605" s="151"/>
    </row>
    <row r="606" spans="1:20">
      <c r="A606" s="21">
        <v>12</v>
      </c>
      <c r="B606" s="39" t="s">
        <v>64</v>
      </c>
      <c r="C606" s="26" t="s">
        <v>59</v>
      </c>
      <c r="D606" s="55" t="s">
        <v>35</v>
      </c>
      <c r="E606" s="24">
        <v>4.2699999999999996</v>
      </c>
      <c r="F606" s="47">
        <v>0.2</v>
      </c>
      <c r="G606" s="33"/>
      <c r="H606" s="34">
        <v>0.1</v>
      </c>
      <c r="I606" s="48"/>
      <c r="J606" s="49"/>
      <c r="K606" s="50">
        <f t="shared" si="278"/>
        <v>4.5699999999999994</v>
      </c>
      <c r="L606" s="51">
        <f t="shared" si="279"/>
        <v>6809299.9999999991</v>
      </c>
      <c r="M606" s="58"/>
      <c r="N606" s="58"/>
      <c r="O606" s="51">
        <f t="shared" si="280"/>
        <v>6809299.9999999991</v>
      </c>
      <c r="P606" s="53">
        <f>((E606+F606+G606+I606)*1490000-M606)*10.5%</f>
        <v>699331.5</v>
      </c>
      <c r="Q606" s="54"/>
      <c r="R606" s="53">
        <f t="shared" si="276"/>
        <v>699331.5</v>
      </c>
      <c r="S606" s="53">
        <f>O606-R606</f>
        <v>6109968.4999999991</v>
      </c>
      <c r="T606" s="151"/>
    </row>
    <row r="607" spans="1:20">
      <c r="A607" s="21">
        <v>13</v>
      </c>
      <c r="B607" s="39" t="s">
        <v>21</v>
      </c>
      <c r="C607" s="40" t="s">
        <v>69</v>
      </c>
      <c r="D607" s="55" t="s">
        <v>27</v>
      </c>
      <c r="E607" s="24">
        <v>4.6500000000000004</v>
      </c>
      <c r="F607" s="47"/>
      <c r="G607" s="33"/>
      <c r="H607" s="35"/>
      <c r="I607" s="48"/>
      <c r="J607" s="49">
        <f>30/100*(E607+F607+G607)</f>
        <v>1.395</v>
      </c>
      <c r="K607" s="50">
        <f t="shared" si="278"/>
        <v>6.0449999999999999</v>
      </c>
      <c r="L607" s="51">
        <f t="shared" si="279"/>
        <v>9007050</v>
      </c>
      <c r="M607" s="58"/>
      <c r="N607" s="58"/>
      <c r="O607" s="51">
        <f t="shared" si="280"/>
        <v>9007050</v>
      </c>
      <c r="P607" s="53">
        <f t="shared" ref="P607:P621" si="289">((E607+F607+G607+I607)*1490000-M607)*10.5%</f>
        <v>727492.50000000012</v>
      </c>
      <c r="Q607" s="54"/>
      <c r="R607" s="53">
        <f t="shared" si="276"/>
        <v>727492.50000000012</v>
      </c>
      <c r="S607" s="53">
        <f t="shared" ref="S607:S614" si="290">O607-R607</f>
        <v>8279557.5</v>
      </c>
      <c r="T607" s="150"/>
    </row>
    <row r="608" spans="1:20">
      <c r="A608" s="21">
        <v>14</v>
      </c>
      <c r="B608" s="39" t="s">
        <v>21</v>
      </c>
      <c r="C608" s="40" t="s">
        <v>37</v>
      </c>
      <c r="D608" s="55" t="s">
        <v>27</v>
      </c>
      <c r="E608" s="24">
        <v>4.32</v>
      </c>
      <c r="F608" s="24"/>
      <c r="G608" s="33"/>
      <c r="H608" s="35"/>
      <c r="I608" s="48"/>
      <c r="J608" s="49">
        <f>30/100*(E608+F608+G608)</f>
        <v>1.296</v>
      </c>
      <c r="K608" s="50">
        <f t="shared" si="278"/>
        <v>5.6160000000000005</v>
      </c>
      <c r="L608" s="51">
        <f t="shared" si="279"/>
        <v>8367840.0000000009</v>
      </c>
      <c r="M608" s="58"/>
      <c r="N608" s="58"/>
      <c r="O608" s="51">
        <f t="shared" si="280"/>
        <v>8367840.0000000009</v>
      </c>
      <c r="P608" s="53">
        <f t="shared" si="289"/>
        <v>675864</v>
      </c>
      <c r="Q608" s="54"/>
      <c r="R608" s="53">
        <f t="shared" si="276"/>
        <v>675864</v>
      </c>
      <c r="S608" s="53">
        <f t="shared" si="290"/>
        <v>7691976.0000000009</v>
      </c>
      <c r="T608" s="2"/>
    </row>
    <row r="609" spans="1:20">
      <c r="A609" s="21">
        <v>15</v>
      </c>
      <c r="B609" s="39" t="s">
        <v>21</v>
      </c>
      <c r="C609" s="40" t="s">
        <v>71</v>
      </c>
      <c r="D609" s="55" t="s">
        <v>27</v>
      </c>
      <c r="E609" s="24">
        <v>4.32</v>
      </c>
      <c r="F609" s="24"/>
      <c r="G609" s="33"/>
      <c r="H609" s="35"/>
      <c r="I609" s="48"/>
      <c r="J609" s="49">
        <f t="shared" ref="J609:J611" si="291">30/100*(E609+F609+G609)</f>
        <v>1.296</v>
      </c>
      <c r="K609" s="50">
        <f t="shared" si="278"/>
        <v>5.6160000000000005</v>
      </c>
      <c r="L609" s="51">
        <f t="shared" si="279"/>
        <v>8367840.0000000009</v>
      </c>
      <c r="M609" s="58"/>
      <c r="N609" s="58"/>
      <c r="O609" s="51">
        <f t="shared" si="280"/>
        <v>8367840.0000000009</v>
      </c>
      <c r="P609" s="53">
        <f t="shared" si="289"/>
        <v>675864</v>
      </c>
      <c r="Q609" s="54"/>
      <c r="R609" s="53">
        <f t="shared" si="276"/>
        <v>675864</v>
      </c>
      <c r="S609" s="53">
        <f t="shared" si="290"/>
        <v>7691976.0000000009</v>
      </c>
      <c r="T609" s="41"/>
    </row>
    <row r="610" spans="1:20">
      <c r="A610" s="21">
        <v>16</v>
      </c>
      <c r="B610" s="39" t="s">
        <v>21</v>
      </c>
      <c r="C610" s="40" t="s">
        <v>38</v>
      </c>
      <c r="D610" s="55" t="s">
        <v>27</v>
      </c>
      <c r="E610" s="24">
        <v>4.32</v>
      </c>
      <c r="F610" s="24"/>
      <c r="G610" s="33"/>
      <c r="H610" s="35"/>
      <c r="I610" s="48"/>
      <c r="J610" s="49">
        <f t="shared" si="291"/>
        <v>1.296</v>
      </c>
      <c r="K610" s="50">
        <f t="shared" si="278"/>
        <v>5.6160000000000005</v>
      </c>
      <c r="L610" s="51">
        <f t="shared" si="279"/>
        <v>8367840.0000000009</v>
      </c>
      <c r="M610" s="58"/>
      <c r="N610" s="58"/>
      <c r="O610" s="51">
        <f t="shared" si="280"/>
        <v>8367840.0000000009</v>
      </c>
      <c r="P610" s="53">
        <f t="shared" si="289"/>
        <v>675864</v>
      </c>
      <c r="Q610" s="54"/>
      <c r="R610" s="53">
        <f t="shared" si="276"/>
        <v>675864</v>
      </c>
      <c r="S610" s="53">
        <f t="shared" si="290"/>
        <v>7691976.0000000009</v>
      </c>
      <c r="T610" s="41"/>
    </row>
    <row r="611" spans="1:20">
      <c r="A611" s="21">
        <v>17</v>
      </c>
      <c r="B611" s="39" t="s">
        <v>21</v>
      </c>
      <c r="C611" s="40" t="s">
        <v>72</v>
      </c>
      <c r="D611" s="55" t="s">
        <v>27</v>
      </c>
      <c r="E611" s="24">
        <v>4.32</v>
      </c>
      <c r="F611" s="24"/>
      <c r="G611" s="33"/>
      <c r="H611" s="35"/>
      <c r="I611" s="48"/>
      <c r="J611" s="49">
        <f t="shared" si="291"/>
        <v>1.296</v>
      </c>
      <c r="K611" s="50">
        <f t="shared" si="278"/>
        <v>5.6160000000000005</v>
      </c>
      <c r="L611" s="51">
        <f t="shared" si="279"/>
        <v>8367840.0000000009</v>
      </c>
      <c r="M611" s="58"/>
      <c r="N611" s="58"/>
      <c r="O611" s="51">
        <f t="shared" si="280"/>
        <v>8367840.0000000009</v>
      </c>
      <c r="P611" s="53">
        <f t="shared" si="289"/>
        <v>675864</v>
      </c>
      <c r="Q611" s="54"/>
      <c r="R611" s="53">
        <f t="shared" si="276"/>
        <v>675864</v>
      </c>
      <c r="S611" s="53">
        <f t="shared" si="290"/>
        <v>7691976.0000000009</v>
      </c>
      <c r="T611" s="41"/>
    </row>
    <row r="612" spans="1:20">
      <c r="A612" s="21">
        <v>18</v>
      </c>
      <c r="B612" s="39" t="s">
        <v>21</v>
      </c>
      <c r="C612" s="40" t="s">
        <v>91</v>
      </c>
      <c r="D612" s="55" t="s">
        <v>27</v>
      </c>
      <c r="E612" s="24">
        <v>4.6500000000000004</v>
      </c>
      <c r="F612" s="24">
        <v>0.15</v>
      </c>
      <c r="G612" s="60"/>
      <c r="H612" s="35"/>
      <c r="I612" s="48"/>
      <c r="J612" s="49">
        <f>30/100*(E612+F612+G612)</f>
        <v>1.4400000000000002</v>
      </c>
      <c r="K612" s="61">
        <f t="shared" si="278"/>
        <v>6.2400000000000011</v>
      </c>
      <c r="L612" s="62">
        <f t="shared" si="279"/>
        <v>9297600.0000000019</v>
      </c>
      <c r="M612" s="63"/>
      <c r="N612" s="63"/>
      <c r="O612" s="62">
        <f t="shared" si="280"/>
        <v>9297600.0000000019</v>
      </c>
      <c r="P612" s="64">
        <f t="shared" si="289"/>
        <v>750960.00000000012</v>
      </c>
      <c r="Q612" s="54"/>
      <c r="R612" s="64">
        <f t="shared" si="276"/>
        <v>750960.00000000012</v>
      </c>
      <c r="S612" s="64">
        <f t="shared" si="290"/>
        <v>8546640.0000000019</v>
      </c>
      <c r="T612" s="41"/>
    </row>
    <row r="613" spans="1:20">
      <c r="A613" s="21">
        <v>19</v>
      </c>
      <c r="B613" s="39" t="s">
        <v>21</v>
      </c>
      <c r="C613" s="40" t="s">
        <v>39</v>
      </c>
      <c r="D613" s="55" t="s">
        <v>27</v>
      </c>
      <c r="E613" s="24">
        <v>4.32</v>
      </c>
      <c r="F613" s="24"/>
      <c r="G613" s="33"/>
      <c r="H613" s="36"/>
      <c r="I613" s="48"/>
      <c r="J613" s="49">
        <f>30/100*(E613+F613+G613)</f>
        <v>1.296</v>
      </c>
      <c r="K613" s="50">
        <f t="shared" si="278"/>
        <v>5.6160000000000005</v>
      </c>
      <c r="L613" s="51">
        <f t="shared" si="279"/>
        <v>8367840.0000000009</v>
      </c>
      <c r="M613" s="58"/>
      <c r="N613" s="58"/>
      <c r="O613" s="51">
        <f t="shared" si="280"/>
        <v>8367840.0000000009</v>
      </c>
      <c r="P613" s="53">
        <f t="shared" si="289"/>
        <v>675864</v>
      </c>
      <c r="Q613" s="54"/>
      <c r="R613" s="53">
        <f t="shared" si="276"/>
        <v>675864</v>
      </c>
      <c r="S613" s="53">
        <f t="shared" si="290"/>
        <v>7691976.0000000009</v>
      </c>
      <c r="T613" s="41"/>
    </row>
    <row r="614" spans="1:20">
      <c r="A614" s="21">
        <v>20</v>
      </c>
      <c r="B614" s="39" t="s">
        <v>22</v>
      </c>
      <c r="C614" s="40" t="s">
        <v>40</v>
      </c>
      <c r="D614" s="55" t="s">
        <v>90</v>
      </c>
      <c r="E614" s="24">
        <v>3.96</v>
      </c>
      <c r="F614" s="24">
        <v>0.15</v>
      </c>
      <c r="G614" s="33"/>
      <c r="H614" s="36"/>
      <c r="I614" s="48"/>
      <c r="J614" s="49">
        <f t="shared" ref="J614" si="292">30/100*(E614+F614+G614)</f>
        <v>1.2330000000000001</v>
      </c>
      <c r="K614" s="50">
        <f t="shared" si="278"/>
        <v>5.343</v>
      </c>
      <c r="L614" s="51">
        <f t="shared" si="279"/>
        <v>7961070</v>
      </c>
      <c r="M614" s="58"/>
      <c r="N614" s="58"/>
      <c r="O614" s="51">
        <f t="shared" si="280"/>
        <v>7961070</v>
      </c>
      <c r="P614" s="53">
        <f t="shared" si="289"/>
        <v>643009.50000000012</v>
      </c>
      <c r="Q614" s="54"/>
      <c r="R614" s="53">
        <f t="shared" si="276"/>
        <v>643009.50000000012</v>
      </c>
      <c r="S614" s="53">
        <f t="shared" si="290"/>
        <v>7318060.5</v>
      </c>
      <c r="T614" s="41"/>
    </row>
    <row r="615" spans="1:20" ht="15.75">
      <c r="A615" s="21">
        <v>21</v>
      </c>
      <c r="B615" s="39" t="s">
        <v>21</v>
      </c>
      <c r="C615" s="40" t="s">
        <v>73</v>
      </c>
      <c r="D615" s="55" t="s">
        <v>27</v>
      </c>
      <c r="E615" s="24">
        <v>3.99</v>
      </c>
      <c r="F615" s="24"/>
      <c r="G615" s="14"/>
      <c r="H615" s="10"/>
      <c r="I615" s="48"/>
      <c r="J615" s="49">
        <f>30/100*(E615+F615+G615)</f>
        <v>1.1970000000000001</v>
      </c>
      <c r="K615" s="50">
        <f t="shared" si="278"/>
        <v>5.1870000000000003</v>
      </c>
      <c r="L615" s="51">
        <f t="shared" si="279"/>
        <v>7728630</v>
      </c>
      <c r="M615" s="65"/>
      <c r="N615" s="65"/>
      <c r="O615" s="51">
        <f>L615-M615+N615</f>
        <v>7728630</v>
      </c>
      <c r="P615" s="53">
        <f t="shared" si="289"/>
        <v>624235.5</v>
      </c>
      <c r="Q615" s="54"/>
      <c r="R615" s="53">
        <f t="shared" si="276"/>
        <v>624235.5</v>
      </c>
      <c r="S615" s="53">
        <f>O615-R615-N615</f>
        <v>7104394.5</v>
      </c>
      <c r="T615" s="41"/>
    </row>
    <row r="616" spans="1:20" ht="15.75">
      <c r="A616" s="21">
        <v>22</v>
      </c>
      <c r="B616" s="39" t="s">
        <v>21</v>
      </c>
      <c r="C616" s="40" t="s">
        <v>41</v>
      </c>
      <c r="D616" s="55" t="s">
        <v>27</v>
      </c>
      <c r="E616" s="24">
        <v>3.99</v>
      </c>
      <c r="F616" s="56"/>
      <c r="G616" s="14"/>
      <c r="H616" s="10"/>
      <c r="I616" s="48"/>
      <c r="J616" s="49">
        <f t="shared" ref="J616:J620" si="293">30/100*(E616+F616+G616)</f>
        <v>1.1970000000000001</v>
      </c>
      <c r="K616" s="50">
        <f t="shared" si="278"/>
        <v>5.1870000000000003</v>
      </c>
      <c r="L616" s="51">
        <f t="shared" si="279"/>
        <v>7728630</v>
      </c>
      <c r="M616" s="58"/>
      <c r="N616" s="58"/>
      <c r="O616" s="51">
        <f t="shared" ref="O616:O621" si="294">L616-M616+N616</f>
        <v>7728630</v>
      </c>
      <c r="P616" s="53">
        <f t="shared" si="289"/>
        <v>624235.5</v>
      </c>
      <c r="Q616" s="54"/>
      <c r="R616" s="53">
        <f t="shared" si="276"/>
        <v>624235.5</v>
      </c>
      <c r="S616" s="53">
        <f t="shared" ref="S616:S619" si="295">O616-R616</f>
        <v>7104394.5</v>
      </c>
      <c r="T616" s="41"/>
    </row>
    <row r="617" spans="1:20">
      <c r="A617" s="21">
        <v>23</v>
      </c>
      <c r="B617" s="39" t="s">
        <v>21</v>
      </c>
      <c r="C617" s="40" t="s">
        <v>42</v>
      </c>
      <c r="D617" s="55" t="s">
        <v>27</v>
      </c>
      <c r="E617" s="24">
        <v>4.32</v>
      </c>
      <c r="F617" s="56"/>
      <c r="G617" s="14"/>
      <c r="H617" s="34">
        <v>0.1</v>
      </c>
      <c r="I617" s="48"/>
      <c r="J617" s="49">
        <f t="shared" si="293"/>
        <v>1.296</v>
      </c>
      <c r="K617" s="50">
        <f t="shared" si="278"/>
        <v>5.7160000000000002</v>
      </c>
      <c r="L617" s="51">
        <f t="shared" si="279"/>
        <v>8516840</v>
      </c>
      <c r="M617" s="58"/>
      <c r="N617" s="58"/>
      <c r="O617" s="51">
        <f t="shared" si="294"/>
        <v>8516840</v>
      </c>
      <c r="P617" s="53">
        <f t="shared" si="289"/>
        <v>675864</v>
      </c>
      <c r="Q617" s="54"/>
      <c r="R617" s="53">
        <f t="shared" si="276"/>
        <v>675864</v>
      </c>
      <c r="S617" s="53">
        <f t="shared" si="295"/>
        <v>7840976</v>
      </c>
      <c r="T617" s="41"/>
    </row>
    <row r="618" spans="1:20" ht="15.75">
      <c r="A618" s="21">
        <v>24</v>
      </c>
      <c r="B618" s="39" t="s">
        <v>21</v>
      </c>
      <c r="C618" s="26" t="s">
        <v>74</v>
      </c>
      <c r="D618" s="55" t="s">
        <v>27</v>
      </c>
      <c r="E618" s="24">
        <v>3.99</v>
      </c>
      <c r="F618" s="56"/>
      <c r="G618" s="14"/>
      <c r="H618" s="10"/>
      <c r="I618" s="66"/>
      <c r="J618" s="67">
        <f t="shared" si="293"/>
        <v>1.1970000000000001</v>
      </c>
      <c r="K618" s="68">
        <f t="shared" si="278"/>
        <v>5.1870000000000003</v>
      </c>
      <c r="L618" s="69">
        <f t="shared" si="279"/>
        <v>7728630</v>
      </c>
      <c r="M618" s="70"/>
      <c r="N618" s="70"/>
      <c r="O618" s="69">
        <f t="shared" si="294"/>
        <v>7728630</v>
      </c>
      <c r="P618" s="71">
        <f t="shared" si="289"/>
        <v>624235.5</v>
      </c>
      <c r="Q618" s="54"/>
      <c r="R618" s="71">
        <f t="shared" si="276"/>
        <v>624235.5</v>
      </c>
      <c r="S618" s="71">
        <f t="shared" si="295"/>
        <v>7104394.5</v>
      </c>
      <c r="T618" s="41"/>
    </row>
    <row r="619" spans="1:20" ht="15.75">
      <c r="A619" s="21">
        <v>25</v>
      </c>
      <c r="B619" s="72" t="s">
        <v>21</v>
      </c>
      <c r="C619" s="26" t="s">
        <v>43</v>
      </c>
      <c r="D619" s="55" t="s">
        <v>27</v>
      </c>
      <c r="E619" s="24">
        <v>3.99</v>
      </c>
      <c r="F619" s="56"/>
      <c r="G619" s="14"/>
      <c r="H619" s="10"/>
      <c r="I619" s="66"/>
      <c r="J619" s="67">
        <f t="shared" si="293"/>
        <v>1.1970000000000001</v>
      </c>
      <c r="K619" s="68">
        <f t="shared" si="278"/>
        <v>5.1870000000000003</v>
      </c>
      <c r="L619" s="69">
        <f t="shared" si="279"/>
        <v>7728630</v>
      </c>
      <c r="M619" s="70"/>
      <c r="N619" s="70"/>
      <c r="O619" s="69">
        <f t="shared" si="294"/>
        <v>7728630</v>
      </c>
      <c r="P619" s="71">
        <f t="shared" si="289"/>
        <v>624235.5</v>
      </c>
      <c r="Q619" s="54"/>
      <c r="R619" s="71">
        <f t="shared" si="276"/>
        <v>624235.5</v>
      </c>
      <c r="S619" s="71">
        <f t="shared" si="295"/>
        <v>7104394.5</v>
      </c>
      <c r="T619" s="41"/>
    </row>
    <row r="620" spans="1:20" ht="15.75">
      <c r="A620" s="21">
        <v>26</v>
      </c>
      <c r="B620" s="39" t="s">
        <v>21</v>
      </c>
      <c r="C620" s="26" t="s">
        <v>58</v>
      </c>
      <c r="D620" s="55" t="s">
        <v>27</v>
      </c>
      <c r="E620" s="24">
        <v>3.66</v>
      </c>
      <c r="F620" s="56"/>
      <c r="G620" s="14"/>
      <c r="H620" s="10"/>
      <c r="I620" s="48"/>
      <c r="J620" s="49">
        <f t="shared" si="293"/>
        <v>1.0980000000000001</v>
      </c>
      <c r="K620" s="50">
        <f t="shared" si="278"/>
        <v>4.758</v>
      </c>
      <c r="L620" s="51">
        <f t="shared" si="279"/>
        <v>7089420</v>
      </c>
      <c r="M620" s="58"/>
      <c r="N620" s="58"/>
      <c r="O620" s="51">
        <f t="shared" si="294"/>
        <v>7089420</v>
      </c>
      <c r="P620" s="53">
        <f t="shared" si="289"/>
        <v>572607</v>
      </c>
      <c r="Q620" s="54"/>
      <c r="R620" s="53">
        <f t="shared" si="276"/>
        <v>572607</v>
      </c>
      <c r="S620" s="53">
        <f>O620-R620</f>
        <v>6516813</v>
      </c>
      <c r="T620" s="41"/>
    </row>
    <row r="621" spans="1:20" ht="15.75">
      <c r="A621" s="21">
        <v>27</v>
      </c>
      <c r="B621" s="39" t="s">
        <v>21</v>
      </c>
      <c r="C621" s="40" t="s">
        <v>44</v>
      </c>
      <c r="D621" s="55" t="s">
        <v>27</v>
      </c>
      <c r="E621" s="24">
        <v>3.99</v>
      </c>
      <c r="F621" s="56"/>
      <c r="G621" s="14"/>
      <c r="H621" s="10"/>
      <c r="I621" s="48"/>
      <c r="J621" s="49">
        <f>30/100*(E621+F621+G621)</f>
        <v>1.1970000000000001</v>
      </c>
      <c r="K621" s="50">
        <f t="shared" si="278"/>
        <v>5.1870000000000003</v>
      </c>
      <c r="L621" s="51">
        <f t="shared" si="279"/>
        <v>7728630</v>
      </c>
      <c r="M621" s="58"/>
      <c r="N621" s="58"/>
      <c r="O621" s="51">
        <f t="shared" si="294"/>
        <v>7728630</v>
      </c>
      <c r="P621" s="53">
        <f t="shared" si="289"/>
        <v>624235.5</v>
      </c>
      <c r="Q621" s="54"/>
      <c r="R621" s="53">
        <f t="shared" si="276"/>
        <v>624235.5</v>
      </c>
      <c r="S621" s="53">
        <f t="shared" ref="S621" si="296">O621-R621</f>
        <v>7104394.5</v>
      </c>
      <c r="T621" s="41"/>
    </row>
    <row r="622" spans="1:20" ht="15.75">
      <c r="A622" s="21">
        <v>28</v>
      </c>
      <c r="B622" s="39" t="s">
        <v>53</v>
      </c>
      <c r="C622" s="73" t="s">
        <v>75</v>
      </c>
      <c r="D622" s="55" t="s">
        <v>83</v>
      </c>
      <c r="E622" s="74">
        <v>3.46</v>
      </c>
      <c r="F622" s="56">
        <v>0.15</v>
      </c>
      <c r="G622" s="14"/>
      <c r="H622" s="10"/>
      <c r="I622" s="48"/>
      <c r="J622" s="49"/>
      <c r="K622" s="50">
        <f>E622+F622+G622+H622+I622+J622</f>
        <v>3.61</v>
      </c>
      <c r="L622" s="51">
        <f>K622*1490000</f>
        <v>5378900</v>
      </c>
      <c r="M622" s="65"/>
      <c r="N622" s="75"/>
      <c r="O622" s="51">
        <f>L622-M622+N622</f>
        <v>5378900</v>
      </c>
      <c r="P622" s="53">
        <f>((E622+F622+G622+I622)*1490000)*10.5%</f>
        <v>564784.5</v>
      </c>
      <c r="Q622" s="54"/>
      <c r="R622" s="53">
        <f t="shared" si="276"/>
        <v>564784.5</v>
      </c>
      <c r="S622" s="53">
        <f>O622-R622</f>
        <v>4814115.5</v>
      </c>
      <c r="T622" s="41"/>
    </row>
    <row r="623" spans="1:20" ht="15.75">
      <c r="A623" s="21">
        <v>29</v>
      </c>
      <c r="B623" s="39" t="s">
        <v>89</v>
      </c>
      <c r="C623" s="42" t="s">
        <v>46</v>
      </c>
      <c r="D623" s="55" t="s">
        <v>27</v>
      </c>
      <c r="E623" s="24">
        <v>4</v>
      </c>
      <c r="F623" s="24"/>
      <c r="G623" s="14"/>
      <c r="H623" s="10"/>
      <c r="I623" s="48"/>
      <c r="J623" s="49">
        <f t="shared" ref="J623:J624" si="297">30/100*(E623+F623+G623)</f>
        <v>1.2</v>
      </c>
      <c r="K623" s="50">
        <f t="shared" ref="K623:K625" si="298">E623+F623+G623+H623+I623+J623</f>
        <v>5.2</v>
      </c>
      <c r="L623" s="51">
        <f t="shared" ref="L623:L627" si="299">K623*1490000</f>
        <v>7748000</v>
      </c>
      <c r="M623" s="58"/>
      <c r="N623" s="58"/>
      <c r="O623" s="51">
        <f t="shared" ref="O623:O631" si="300">L623-M623+N623</f>
        <v>7748000</v>
      </c>
      <c r="P623" s="53">
        <f t="shared" ref="P623:P625" si="301">((E623+F623+G623+I623)*1490000-M623)*10.5%</f>
        <v>625800</v>
      </c>
      <c r="Q623" s="54"/>
      <c r="R623" s="53">
        <f t="shared" si="276"/>
        <v>625800</v>
      </c>
      <c r="S623" s="76">
        <f t="shared" ref="S623:S624" si="302">O623-R623</f>
        <v>7122200</v>
      </c>
      <c r="T623" s="41"/>
    </row>
    <row r="624" spans="1:20" ht="15.75">
      <c r="A624" s="21">
        <v>30</v>
      </c>
      <c r="B624" s="39" t="s">
        <v>21</v>
      </c>
      <c r="C624" s="40" t="s">
        <v>47</v>
      </c>
      <c r="D624" s="55" t="s">
        <v>27</v>
      </c>
      <c r="E624" s="24">
        <v>3.99</v>
      </c>
      <c r="F624" s="24"/>
      <c r="G624" s="14"/>
      <c r="H624" s="10"/>
      <c r="I624" s="48"/>
      <c r="J624" s="49">
        <f t="shared" si="297"/>
        <v>1.1970000000000001</v>
      </c>
      <c r="K624" s="50">
        <f t="shared" si="298"/>
        <v>5.1870000000000003</v>
      </c>
      <c r="L624" s="51">
        <f t="shared" si="299"/>
        <v>7728630</v>
      </c>
      <c r="M624" s="53"/>
      <c r="N624" s="58"/>
      <c r="O624" s="51">
        <f t="shared" si="300"/>
        <v>7728630</v>
      </c>
      <c r="P624" s="53">
        <f t="shared" si="301"/>
        <v>624235.5</v>
      </c>
      <c r="Q624" s="54"/>
      <c r="R624" s="53">
        <f t="shared" si="276"/>
        <v>624235.5</v>
      </c>
      <c r="S624" s="76">
        <f t="shared" si="302"/>
        <v>7104394.5</v>
      </c>
      <c r="T624" s="41"/>
    </row>
    <row r="625" spans="1:20" ht="15.75">
      <c r="A625" s="21">
        <v>31</v>
      </c>
      <c r="B625" s="39" t="s">
        <v>21</v>
      </c>
      <c r="C625" s="40" t="s">
        <v>48</v>
      </c>
      <c r="D625" s="55" t="s">
        <v>27</v>
      </c>
      <c r="E625" s="24">
        <v>3.99</v>
      </c>
      <c r="F625" s="24"/>
      <c r="G625" s="14"/>
      <c r="H625" s="10"/>
      <c r="I625" s="48"/>
      <c r="J625" s="49">
        <f>30/100*(E625+F625+G625)</f>
        <v>1.1970000000000001</v>
      </c>
      <c r="K625" s="50">
        <f t="shared" si="298"/>
        <v>5.1870000000000003</v>
      </c>
      <c r="L625" s="51">
        <f t="shared" si="299"/>
        <v>7728630</v>
      </c>
      <c r="M625" s="53"/>
      <c r="N625" s="58"/>
      <c r="O625" s="51">
        <f t="shared" si="300"/>
        <v>7728630</v>
      </c>
      <c r="P625" s="53">
        <f t="shared" si="301"/>
        <v>624235.5</v>
      </c>
      <c r="Q625" s="54"/>
      <c r="R625" s="53">
        <f t="shared" si="276"/>
        <v>624235.5</v>
      </c>
      <c r="S625" s="76">
        <f>O625-R625</f>
        <v>7104394.5</v>
      </c>
      <c r="T625" s="41"/>
    </row>
    <row r="626" spans="1:20" ht="15.75">
      <c r="A626" s="21">
        <v>32</v>
      </c>
      <c r="B626" s="39" t="s">
        <v>21</v>
      </c>
      <c r="C626" s="40" t="s">
        <v>92</v>
      </c>
      <c r="D626" s="55" t="s">
        <v>27</v>
      </c>
      <c r="E626" s="24">
        <v>3.33</v>
      </c>
      <c r="F626" s="24"/>
      <c r="G626" s="14"/>
      <c r="H626" s="10"/>
      <c r="I626" s="48"/>
      <c r="J626" s="49">
        <f>30/100*(E626+F626+G626)</f>
        <v>0.999</v>
      </c>
      <c r="K626" s="50">
        <f>E626+F626+G626+H626+I626+J626</f>
        <v>4.3289999999999997</v>
      </c>
      <c r="L626" s="51">
        <f t="shared" si="299"/>
        <v>6450210</v>
      </c>
      <c r="M626" s="53"/>
      <c r="N626" s="53"/>
      <c r="O626" s="51">
        <f t="shared" si="300"/>
        <v>6450210</v>
      </c>
      <c r="P626" s="53">
        <f>((E626+F626+G626+I626)*1490000)*10.5%</f>
        <v>520978.5</v>
      </c>
      <c r="Q626" s="54"/>
      <c r="R626" s="53">
        <f t="shared" si="276"/>
        <v>520978.5</v>
      </c>
      <c r="S626" s="76">
        <f t="shared" ref="S626:S627" si="303">O626-R626</f>
        <v>5929231.5</v>
      </c>
      <c r="T626" s="41"/>
    </row>
    <row r="627" spans="1:20" ht="15.75">
      <c r="A627" s="21">
        <v>33</v>
      </c>
      <c r="B627" s="39" t="s">
        <v>21</v>
      </c>
      <c r="C627" s="40" t="s">
        <v>93</v>
      </c>
      <c r="D627" s="55" t="s">
        <v>27</v>
      </c>
      <c r="E627" s="24">
        <v>3.66</v>
      </c>
      <c r="F627" s="24"/>
      <c r="G627" s="14"/>
      <c r="H627" s="10"/>
      <c r="I627" s="48"/>
      <c r="J627" s="49">
        <f>30/100*(E627+F627+G627)</f>
        <v>1.0980000000000001</v>
      </c>
      <c r="K627" s="50">
        <f>E627+F627+G627+H627+I627+J627</f>
        <v>4.758</v>
      </c>
      <c r="L627" s="51">
        <f t="shared" si="299"/>
        <v>7089420</v>
      </c>
      <c r="M627" s="53"/>
      <c r="N627" s="53"/>
      <c r="O627" s="51">
        <f t="shared" si="300"/>
        <v>7089420</v>
      </c>
      <c r="P627" s="53">
        <f>((E627+F627+G627+I627)*1490000)*10.5%</f>
        <v>572607</v>
      </c>
      <c r="Q627" s="54"/>
      <c r="R627" s="53">
        <f t="shared" si="276"/>
        <v>572607</v>
      </c>
      <c r="S627" s="76">
        <f t="shared" si="303"/>
        <v>6516813</v>
      </c>
      <c r="T627" s="41"/>
    </row>
    <row r="628" spans="1:20" ht="15.75">
      <c r="A628" s="21">
        <v>34</v>
      </c>
      <c r="B628" s="39" t="s">
        <v>94</v>
      </c>
      <c r="C628" s="42" t="s">
        <v>95</v>
      </c>
      <c r="D628" s="77" t="s">
        <v>27</v>
      </c>
      <c r="E628" s="24">
        <v>3</v>
      </c>
      <c r="F628" s="24"/>
      <c r="G628" s="14"/>
      <c r="H628" s="11"/>
      <c r="I628" s="48"/>
      <c r="J628" s="49">
        <f>30/100*(E628+F628+G628)</f>
        <v>0.89999999999999991</v>
      </c>
      <c r="K628" s="50">
        <f>E628+F628+G628+H628+I628+J628</f>
        <v>3.9</v>
      </c>
      <c r="L628" s="51">
        <f>K628*1490000</f>
        <v>5811000</v>
      </c>
      <c r="M628" s="65"/>
      <c r="N628" s="65"/>
      <c r="O628" s="51">
        <f t="shared" si="300"/>
        <v>5811000</v>
      </c>
      <c r="P628" s="53">
        <f t="shared" ref="P628:P629" si="304">((E628+F628+G628+I628)*1490000-M628)*10.5%</f>
        <v>469350</v>
      </c>
      <c r="Q628" s="54"/>
      <c r="R628" s="53">
        <f t="shared" si="276"/>
        <v>469350</v>
      </c>
      <c r="S628" s="76">
        <f>O628-R628-N628</f>
        <v>5341650</v>
      </c>
      <c r="T628" s="41"/>
    </row>
    <row r="629" spans="1:20">
      <c r="A629" s="21">
        <v>35</v>
      </c>
      <c r="B629" s="39" t="s">
        <v>23</v>
      </c>
      <c r="C629" s="40" t="s">
        <v>49</v>
      </c>
      <c r="D629" s="55" t="s">
        <v>45</v>
      </c>
      <c r="E629" s="24">
        <v>3.34</v>
      </c>
      <c r="F629" s="24"/>
      <c r="G629" s="14"/>
      <c r="H629" s="24">
        <v>0.2</v>
      </c>
      <c r="I629" s="48"/>
      <c r="J629" s="49"/>
      <c r="K629" s="50">
        <f t="shared" ref="K629" si="305">E629+F629+G629+H629+I629+J629</f>
        <v>3.54</v>
      </c>
      <c r="L629" s="51">
        <f t="shared" ref="L629" si="306">K629*1490000</f>
        <v>5274600</v>
      </c>
      <c r="M629" s="53"/>
      <c r="N629" s="58"/>
      <c r="O629" s="51">
        <f t="shared" si="300"/>
        <v>5274600</v>
      </c>
      <c r="P629" s="53">
        <f t="shared" si="304"/>
        <v>522543</v>
      </c>
      <c r="Q629" s="54"/>
      <c r="R629" s="53">
        <f t="shared" si="276"/>
        <v>522543</v>
      </c>
      <c r="S629" s="76">
        <f>O629-R629</f>
        <v>4752057</v>
      </c>
      <c r="T629" s="41"/>
    </row>
    <row r="630" spans="1:20">
      <c r="A630" s="21">
        <v>36</v>
      </c>
      <c r="B630" s="39" t="s">
        <v>52</v>
      </c>
      <c r="C630" s="40" t="s">
        <v>50</v>
      </c>
      <c r="D630" s="77" t="s">
        <v>45</v>
      </c>
      <c r="E630" s="24">
        <v>2.86</v>
      </c>
      <c r="F630" s="24"/>
      <c r="G630" s="14"/>
      <c r="H630" s="24">
        <v>0.2</v>
      </c>
      <c r="I630" s="48"/>
      <c r="J630" s="49"/>
      <c r="K630" s="50">
        <f>E630+F630+G630+H630+I630+J630</f>
        <v>3.06</v>
      </c>
      <c r="L630" s="51">
        <f>K630*1490000</f>
        <v>4559400</v>
      </c>
      <c r="M630" s="53"/>
      <c r="N630" s="51"/>
      <c r="O630" s="51">
        <f t="shared" si="300"/>
        <v>4559400</v>
      </c>
      <c r="P630" s="53">
        <f>((E630+F630+G630+I630)*1490000)*10.5%</f>
        <v>447447</v>
      </c>
      <c r="Q630" s="53"/>
      <c r="R630" s="53">
        <f t="shared" si="276"/>
        <v>447447</v>
      </c>
      <c r="S630" s="76">
        <f>O630-R630</f>
        <v>4111953</v>
      </c>
      <c r="T630" s="41"/>
    </row>
    <row r="631" spans="1:20" ht="15.75">
      <c r="A631" s="21">
        <v>37</v>
      </c>
      <c r="B631" s="39" t="s">
        <v>54</v>
      </c>
      <c r="C631" s="40" t="s">
        <v>51</v>
      </c>
      <c r="D631" s="77" t="s">
        <v>96</v>
      </c>
      <c r="E631" s="24"/>
      <c r="F631" s="24"/>
      <c r="G631" s="14"/>
      <c r="H631" s="11"/>
      <c r="I631" s="48"/>
      <c r="J631" s="49"/>
      <c r="K631" s="50"/>
      <c r="L631" s="51">
        <v>4160000</v>
      </c>
      <c r="M631" s="53"/>
      <c r="N631" s="58"/>
      <c r="O631" s="51">
        <f t="shared" si="300"/>
        <v>4160000</v>
      </c>
      <c r="P631" s="53">
        <f>O631*10.5%</f>
        <v>436800</v>
      </c>
      <c r="Q631" s="53"/>
      <c r="R631" s="53">
        <f t="shared" si="276"/>
        <v>436800</v>
      </c>
      <c r="S631" s="76">
        <f>O631-R631</f>
        <v>3723200</v>
      </c>
      <c r="T631" s="2"/>
    </row>
    <row r="632" spans="1:20" ht="15.75">
      <c r="A632" s="2"/>
      <c r="B632" s="2"/>
      <c r="C632" s="3" t="s">
        <v>14</v>
      </c>
      <c r="D632" s="5"/>
      <c r="E632" s="27">
        <f t="shared" ref="E632" si="307">SUM(E595:E631)</f>
        <v>151.68</v>
      </c>
      <c r="F632" s="78">
        <f>SUM(F595:F631)</f>
        <v>2.1999999999999997</v>
      </c>
      <c r="G632" s="27">
        <f>SUM(G595:G631)</f>
        <v>1.1907000000000001</v>
      </c>
      <c r="H632" s="78">
        <f>SUM(H595:H631)</f>
        <v>0.60000000000000009</v>
      </c>
      <c r="I632" s="27">
        <f>SUM(I595:I631)</f>
        <v>0</v>
      </c>
      <c r="J632" s="27">
        <f t="shared" ref="J632" si="308">SUM(J595:J631)</f>
        <v>42.237210000000012</v>
      </c>
      <c r="K632" s="27">
        <f>SUM(K595:K631)</f>
        <v>197.9079100000001</v>
      </c>
      <c r="L632" s="28">
        <f t="shared" ref="L632:O632" si="309">SUM(L595:L631)</f>
        <v>299042785.89999998</v>
      </c>
      <c r="M632" s="75">
        <f t="shared" si="309"/>
        <v>0</v>
      </c>
      <c r="N632" s="75">
        <f t="shared" si="309"/>
        <v>0</v>
      </c>
      <c r="O632" s="28">
        <f t="shared" si="309"/>
        <v>299042785.89999998</v>
      </c>
      <c r="P632" s="28">
        <f>SUM(P595:P631)</f>
        <v>24617598.015000001</v>
      </c>
      <c r="Q632" s="28">
        <f>SUM(Q595:Q631)</f>
        <v>0</v>
      </c>
      <c r="R632" s="28">
        <f t="shared" ref="R632" si="310">SUM(R595:R631)</f>
        <v>24617598.015000001</v>
      </c>
      <c r="S632" s="32">
        <f>SUM(S595:S631)</f>
        <v>274425187.88499999</v>
      </c>
      <c r="T632" s="2"/>
    </row>
    <row r="633" spans="1:20">
      <c r="E633" s="9"/>
      <c r="F633" s="9"/>
      <c r="G633" s="9"/>
      <c r="H633" s="9"/>
      <c r="I633" s="19"/>
      <c r="J633" s="17"/>
    </row>
    <row r="634" spans="1:20">
      <c r="A634" s="1" t="s">
        <v>100</v>
      </c>
      <c r="D634" s="210" t="s">
        <v>319</v>
      </c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</row>
    <row r="635" spans="1:20" ht="15.75">
      <c r="A635" s="6"/>
      <c r="E635" s="9"/>
      <c r="F635" s="9"/>
      <c r="G635" s="9"/>
      <c r="H635" s="9"/>
      <c r="I635" s="19"/>
      <c r="J635" s="17"/>
      <c r="S635" s="15"/>
    </row>
    <row r="636" spans="1:20">
      <c r="A636" s="7"/>
      <c r="B636" s="7"/>
      <c r="C636" s="7"/>
      <c r="D636" s="211"/>
      <c r="E636" s="212"/>
      <c r="F636" s="212"/>
      <c r="G636" s="37"/>
      <c r="H636" s="37"/>
      <c r="I636" s="19"/>
      <c r="J636" s="17"/>
      <c r="N636" s="43"/>
      <c r="O636" s="43"/>
      <c r="P636" s="213" t="s">
        <v>340</v>
      </c>
      <c r="Q636" s="213"/>
      <c r="R636" s="213"/>
      <c r="S636" s="213"/>
    </row>
    <row r="637" spans="1:20">
      <c r="A637" s="214" t="s">
        <v>77</v>
      </c>
      <c r="B637" s="214"/>
      <c r="C637" s="214"/>
      <c r="D637" s="214"/>
      <c r="E637" s="214"/>
      <c r="F637" s="9"/>
      <c r="G637" s="44"/>
      <c r="H637" s="44"/>
      <c r="I637" s="19"/>
      <c r="J637" s="214" t="s">
        <v>79</v>
      </c>
      <c r="K637" s="214"/>
      <c r="L637" s="214"/>
      <c r="M637" s="214"/>
      <c r="P637" s="215" t="s">
        <v>65</v>
      </c>
      <c r="Q637" s="215"/>
      <c r="R637" s="215"/>
      <c r="S637" s="215"/>
    </row>
    <row r="638" spans="1:20">
      <c r="A638" s="216" t="s">
        <v>78</v>
      </c>
      <c r="B638" s="216"/>
      <c r="C638" s="216"/>
      <c r="D638" s="216"/>
      <c r="E638" s="9"/>
      <c r="F638" s="9"/>
      <c r="G638" s="9"/>
      <c r="H638" s="9"/>
      <c r="I638" s="19"/>
      <c r="J638" s="216" t="s">
        <v>80</v>
      </c>
      <c r="K638" s="216"/>
      <c r="L638" s="216"/>
      <c r="P638" s="217" t="s">
        <v>66</v>
      </c>
      <c r="Q638" s="217"/>
      <c r="R638" s="217"/>
      <c r="S638" s="217"/>
    </row>
    <row r="639" spans="1:20">
      <c r="E639" s="9"/>
      <c r="F639" s="9"/>
      <c r="G639" s="9"/>
      <c r="H639" s="9"/>
      <c r="I639" s="19"/>
      <c r="J639" s="17"/>
    </row>
    <row r="640" spans="1:20">
      <c r="B640" s="152"/>
      <c r="C640" s="79"/>
      <c r="D640" s="152"/>
      <c r="E640" s="9"/>
      <c r="F640" s="9"/>
      <c r="G640" s="9"/>
      <c r="H640" s="9"/>
      <c r="I640" s="19"/>
      <c r="J640" s="17"/>
    </row>
    <row r="641" spans="2:19" ht="15.75">
      <c r="B641" s="152"/>
      <c r="C641" s="153"/>
      <c r="D641" s="152"/>
      <c r="E641" s="9"/>
      <c r="F641" s="9"/>
      <c r="G641" s="9"/>
      <c r="H641" s="9"/>
      <c r="I641" s="19"/>
      <c r="J641" s="17"/>
      <c r="L641" s="12"/>
      <c r="P641" s="16"/>
    </row>
    <row r="642" spans="2:19" ht="15.75">
      <c r="B642" s="152"/>
      <c r="C642" s="153"/>
      <c r="D642" s="152"/>
      <c r="E642" s="9"/>
      <c r="F642" s="9"/>
      <c r="G642" s="9"/>
      <c r="H642" s="9"/>
      <c r="I642" s="19"/>
      <c r="J642" s="17"/>
    </row>
    <row r="643" spans="2:19" ht="15.75">
      <c r="B643" s="208" t="s">
        <v>267</v>
      </c>
      <c r="C643" s="208"/>
      <c r="D643" s="208"/>
      <c r="E643" s="9"/>
      <c r="F643" s="9"/>
      <c r="G643" s="9"/>
      <c r="H643" s="9"/>
      <c r="I643" s="19"/>
      <c r="J643" s="209" t="s">
        <v>59</v>
      </c>
      <c r="K643" s="209"/>
      <c r="L643" s="209"/>
      <c r="M643" s="209"/>
      <c r="P643" s="209" t="s">
        <v>81</v>
      </c>
      <c r="Q643" s="209"/>
      <c r="R643" s="209"/>
      <c r="S643" s="209"/>
    </row>
  </sheetData>
  <mergeCells count="383">
    <mergeCell ref="B643:D643"/>
    <mergeCell ref="J643:M643"/>
    <mergeCell ref="P643:S643"/>
    <mergeCell ref="D634:T634"/>
    <mergeCell ref="D636:F636"/>
    <mergeCell ref="P636:S636"/>
    <mergeCell ref="A637:E637"/>
    <mergeCell ref="J637:M637"/>
    <mergeCell ref="P637:S637"/>
    <mergeCell ref="A638:D638"/>
    <mergeCell ref="J638:L638"/>
    <mergeCell ref="P638:S638"/>
    <mergeCell ref="T591:T593"/>
    <mergeCell ref="E592:E593"/>
    <mergeCell ref="F592:F593"/>
    <mergeCell ref="G592:J592"/>
    <mergeCell ref="K592:K593"/>
    <mergeCell ref="L592:L593"/>
    <mergeCell ref="P592:P593"/>
    <mergeCell ref="Q592:Q593"/>
    <mergeCell ref="R592:R593"/>
    <mergeCell ref="A590:S590"/>
    <mergeCell ref="A591:A593"/>
    <mergeCell ref="B591:B593"/>
    <mergeCell ref="C591:C593"/>
    <mergeCell ref="D591:D593"/>
    <mergeCell ref="E591:L591"/>
    <mergeCell ref="M591:M593"/>
    <mergeCell ref="N591:N593"/>
    <mergeCell ref="O591:O593"/>
    <mergeCell ref="P591:R591"/>
    <mergeCell ref="S591:S593"/>
    <mergeCell ref="B579:D579"/>
    <mergeCell ref="J579:M579"/>
    <mergeCell ref="P579:S579"/>
    <mergeCell ref="A586:H586"/>
    <mergeCell ref="Q586:S586"/>
    <mergeCell ref="A587:G587"/>
    <mergeCell ref="R587:S587"/>
    <mergeCell ref="A588:G588"/>
    <mergeCell ref="A589:S589"/>
    <mergeCell ref="D570:T570"/>
    <mergeCell ref="D572:F572"/>
    <mergeCell ref="P572:S572"/>
    <mergeCell ref="A573:E573"/>
    <mergeCell ref="J573:M573"/>
    <mergeCell ref="P573:S573"/>
    <mergeCell ref="A574:D574"/>
    <mergeCell ref="J574:L574"/>
    <mergeCell ref="P574:S574"/>
    <mergeCell ref="T527:T529"/>
    <mergeCell ref="E528:E529"/>
    <mergeCell ref="F528:F529"/>
    <mergeCell ref="G528:J528"/>
    <mergeCell ref="K528:K529"/>
    <mergeCell ref="L528:L529"/>
    <mergeCell ref="P528:P529"/>
    <mergeCell ref="Q528:Q529"/>
    <mergeCell ref="R528:R529"/>
    <mergeCell ref="A526:S526"/>
    <mergeCell ref="A527:A529"/>
    <mergeCell ref="B527:B529"/>
    <mergeCell ref="C527:C529"/>
    <mergeCell ref="D527:D529"/>
    <mergeCell ref="E527:L527"/>
    <mergeCell ref="M527:M529"/>
    <mergeCell ref="N527:N529"/>
    <mergeCell ref="O527:O529"/>
    <mergeCell ref="P527:R527"/>
    <mergeCell ref="S527:S529"/>
    <mergeCell ref="B514:D514"/>
    <mergeCell ref="J514:M514"/>
    <mergeCell ref="P514:S514"/>
    <mergeCell ref="A522:H522"/>
    <mergeCell ref="Q522:S522"/>
    <mergeCell ref="A523:G523"/>
    <mergeCell ref="R523:S523"/>
    <mergeCell ref="A524:G524"/>
    <mergeCell ref="A525:S525"/>
    <mergeCell ref="D505:T505"/>
    <mergeCell ref="D507:F507"/>
    <mergeCell ref="P507:S507"/>
    <mergeCell ref="A508:E508"/>
    <mergeCell ref="J508:M508"/>
    <mergeCell ref="P508:S508"/>
    <mergeCell ref="A509:D509"/>
    <mergeCell ref="J509:L509"/>
    <mergeCell ref="P509:S509"/>
    <mergeCell ref="T462:T464"/>
    <mergeCell ref="E463:E464"/>
    <mergeCell ref="F463:F464"/>
    <mergeCell ref="G463:J463"/>
    <mergeCell ref="K463:K464"/>
    <mergeCell ref="L463:L464"/>
    <mergeCell ref="P463:P464"/>
    <mergeCell ref="Q463:Q464"/>
    <mergeCell ref="R463:R464"/>
    <mergeCell ref="A457:H457"/>
    <mergeCell ref="Q457:S457"/>
    <mergeCell ref="A458:G458"/>
    <mergeCell ref="R458:S458"/>
    <mergeCell ref="A459:G459"/>
    <mergeCell ref="A460:S460"/>
    <mergeCell ref="A461:S461"/>
    <mergeCell ref="A462:A464"/>
    <mergeCell ref="B462:B464"/>
    <mergeCell ref="C462:C464"/>
    <mergeCell ref="D462:D464"/>
    <mergeCell ref="E462:L462"/>
    <mergeCell ref="M462:M464"/>
    <mergeCell ref="N462:N464"/>
    <mergeCell ref="O462:O464"/>
    <mergeCell ref="P462:R462"/>
    <mergeCell ref="S462:S464"/>
    <mergeCell ref="B394:D394"/>
    <mergeCell ref="J394:M394"/>
    <mergeCell ref="P394:S394"/>
    <mergeCell ref="D385:T385"/>
    <mergeCell ref="D387:F387"/>
    <mergeCell ref="P387:S387"/>
    <mergeCell ref="A388:E388"/>
    <mergeCell ref="J388:M388"/>
    <mergeCell ref="P388:S388"/>
    <mergeCell ref="A389:D389"/>
    <mergeCell ref="J389:L389"/>
    <mergeCell ref="P389:S389"/>
    <mergeCell ref="T342:T344"/>
    <mergeCell ref="E343:E344"/>
    <mergeCell ref="F343:F344"/>
    <mergeCell ref="G343:J343"/>
    <mergeCell ref="K343:K344"/>
    <mergeCell ref="L343:L344"/>
    <mergeCell ref="P343:P344"/>
    <mergeCell ref="Q343:Q344"/>
    <mergeCell ref="R343:R344"/>
    <mergeCell ref="A341:S341"/>
    <mergeCell ref="A342:A344"/>
    <mergeCell ref="B342:B344"/>
    <mergeCell ref="C342:C344"/>
    <mergeCell ref="D342:D344"/>
    <mergeCell ref="E342:L342"/>
    <mergeCell ref="M342:M344"/>
    <mergeCell ref="N342:N344"/>
    <mergeCell ref="O342:O344"/>
    <mergeCell ref="P342:R342"/>
    <mergeCell ref="S342:S344"/>
    <mergeCell ref="B327:D327"/>
    <mergeCell ref="J327:M327"/>
    <mergeCell ref="P327:S327"/>
    <mergeCell ref="A337:H337"/>
    <mergeCell ref="Q337:S337"/>
    <mergeCell ref="A338:G338"/>
    <mergeCell ref="R338:S338"/>
    <mergeCell ref="A339:G339"/>
    <mergeCell ref="A340:S340"/>
    <mergeCell ref="D318:T318"/>
    <mergeCell ref="D320:F320"/>
    <mergeCell ref="P320:S320"/>
    <mergeCell ref="A321:E321"/>
    <mergeCell ref="J321:M321"/>
    <mergeCell ref="P321:S321"/>
    <mergeCell ref="A322:D322"/>
    <mergeCell ref="J322:L322"/>
    <mergeCell ref="P322:S322"/>
    <mergeCell ref="T275:T277"/>
    <mergeCell ref="E276:E277"/>
    <mergeCell ref="F276:F277"/>
    <mergeCell ref="G276:J276"/>
    <mergeCell ref="K276:K277"/>
    <mergeCell ref="L276:L277"/>
    <mergeCell ref="P276:P277"/>
    <mergeCell ref="Q276:Q277"/>
    <mergeCell ref="R276:R277"/>
    <mergeCell ref="A274:S274"/>
    <mergeCell ref="A275:A277"/>
    <mergeCell ref="B275:B277"/>
    <mergeCell ref="C275:C277"/>
    <mergeCell ref="D275:D277"/>
    <mergeCell ref="E275:L275"/>
    <mergeCell ref="M275:M277"/>
    <mergeCell ref="N275:N277"/>
    <mergeCell ref="O275:O277"/>
    <mergeCell ref="P275:R275"/>
    <mergeCell ref="S275:S277"/>
    <mergeCell ref="B261:D261"/>
    <mergeCell ref="J261:M261"/>
    <mergeCell ref="P261:S261"/>
    <mergeCell ref="A270:H270"/>
    <mergeCell ref="Q270:S270"/>
    <mergeCell ref="A271:G271"/>
    <mergeCell ref="R271:S271"/>
    <mergeCell ref="A272:G272"/>
    <mergeCell ref="A273:S273"/>
    <mergeCell ref="D252:T252"/>
    <mergeCell ref="D254:F254"/>
    <mergeCell ref="P254:S254"/>
    <mergeCell ref="A255:E255"/>
    <mergeCell ref="J255:M255"/>
    <mergeCell ref="P255:S255"/>
    <mergeCell ref="A256:D256"/>
    <mergeCell ref="J256:L256"/>
    <mergeCell ref="P256:S256"/>
    <mergeCell ref="T209:T211"/>
    <mergeCell ref="E210:E211"/>
    <mergeCell ref="F210:F211"/>
    <mergeCell ref="G210:J210"/>
    <mergeCell ref="K210:K211"/>
    <mergeCell ref="L210:L211"/>
    <mergeCell ref="P210:P211"/>
    <mergeCell ref="Q210:Q211"/>
    <mergeCell ref="R210:R211"/>
    <mergeCell ref="A204:H204"/>
    <mergeCell ref="Q204:S204"/>
    <mergeCell ref="A205:G205"/>
    <mergeCell ref="R205:S205"/>
    <mergeCell ref="A206:G206"/>
    <mergeCell ref="A207:S207"/>
    <mergeCell ref="A208:S208"/>
    <mergeCell ref="A209:A211"/>
    <mergeCell ref="B209:B211"/>
    <mergeCell ref="C209:C211"/>
    <mergeCell ref="D209:D211"/>
    <mergeCell ref="E209:L209"/>
    <mergeCell ref="M209:M211"/>
    <mergeCell ref="N209:N211"/>
    <mergeCell ref="O209:O211"/>
    <mergeCell ref="P209:R209"/>
    <mergeCell ref="S209:S211"/>
    <mergeCell ref="A1:H1"/>
    <mergeCell ref="Q1:S1"/>
    <mergeCell ref="A2:G2"/>
    <mergeCell ref="R2:S2"/>
    <mergeCell ref="A3:G3"/>
    <mergeCell ref="A4:S4"/>
    <mergeCell ref="A5:S5"/>
    <mergeCell ref="A6:A8"/>
    <mergeCell ref="B6:B8"/>
    <mergeCell ref="C6:C8"/>
    <mergeCell ref="D6:D8"/>
    <mergeCell ref="E6:L6"/>
    <mergeCell ref="M6:M8"/>
    <mergeCell ref="N6:N8"/>
    <mergeCell ref="O6:O8"/>
    <mergeCell ref="P6:R6"/>
    <mergeCell ref="D49:T49"/>
    <mergeCell ref="D51:F51"/>
    <mergeCell ref="P51:S51"/>
    <mergeCell ref="A52:E52"/>
    <mergeCell ref="J52:M52"/>
    <mergeCell ref="P52:S52"/>
    <mergeCell ref="S6:S8"/>
    <mergeCell ref="T6:T8"/>
    <mergeCell ref="E7:E8"/>
    <mergeCell ref="F7:F8"/>
    <mergeCell ref="G7:J7"/>
    <mergeCell ref="K7:K8"/>
    <mergeCell ref="L7:L8"/>
    <mergeCell ref="P7:P8"/>
    <mergeCell ref="Q7:Q8"/>
    <mergeCell ref="R7:R8"/>
    <mergeCell ref="A60:D60"/>
    <mergeCell ref="J60:L60"/>
    <mergeCell ref="P60:T60"/>
    <mergeCell ref="A67:H67"/>
    <mergeCell ref="Q67:S67"/>
    <mergeCell ref="A68:G68"/>
    <mergeCell ref="R68:S68"/>
    <mergeCell ref="A53:D53"/>
    <mergeCell ref="J53:L53"/>
    <mergeCell ref="P53:S53"/>
    <mergeCell ref="B58:D58"/>
    <mergeCell ref="J58:M58"/>
    <mergeCell ref="P58:S58"/>
    <mergeCell ref="A69:G69"/>
    <mergeCell ref="A70:S70"/>
    <mergeCell ref="A71:S71"/>
    <mergeCell ref="A72:A74"/>
    <mergeCell ref="B72:B74"/>
    <mergeCell ref="C72:C74"/>
    <mergeCell ref="D72:D74"/>
    <mergeCell ref="E72:L72"/>
    <mergeCell ref="M72:M74"/>
    <mergeCell ref="N72:N74"/>
    <mergeCell ref="Q73:Q74"/>
    <mergeCell ref="R73:R74"/>
    <mergeCell ref="D115:T115"/>
    <mergeCell ref="D117:F117"/>
    <mergeCell ref="P117:S117"/>
    <mergeCell ref="A118:E118"/>
    <mergeCell ref="J118:M118"/>
    <mergeCell ref="P118:S118"/>
    <mergeCell ref="O72:O74"/>
    <mergeCell ref="P72:R72"/>
    <mergeCell ref="S72:S74"/>
    <mergeCell ref="T72:T74"/>
    <mergeCell ref="E73:E74"/>
    <mergeCell ref="F73:F74"/>
    <mergeCell ref="G73:J73"/>
    <mergeCell ref="K73:K74"/>
    <mergeCell ref="L73:L74"/>
    <mergeCell ref="P73:P74"/>
    <mergeCell ref="A139:H139"/>
    <mergeCell ref="Q139:S139"/>
    <mergeCell ref="A140:G140"/>
    <mergeCell ref="R140:S140"/>
    <mergeCell ref="A141:G141"/>
    <mergeCell ref="A142:S142"/>
    <mergeCell ref="A119:D119"/>
    <mergeCell ref="J119:L119"/>
    <mergeCell ref="P119:S119"/>
    <mergeCell ref="B124:D124"/>
    <mergeCell ref="J124:M124"/>
    <mergeCell ref="P124:S124"/>
    <mergeCell ref="A143:S143"/>
    <mergeCell ref="A144:A146"/>
    <mergeCell ref="B144:B146"/>
    <mergeCell ref="C144:C146"/>
    <mergeCell ref="D144:D146"/>
    <mergeCell ref="E144:L144"/>
    <mergeCell ref="M144:M146"/>
    <mergeCell ref="N144:N146"/>
    <mergeCell ref="O144:O146"/>
    <mergeCell ref="P144:R144"/>
    <mergeCell ref="S144:S146"/>
    <mergeCell ref="T144:T146"/>
    <mergeCell ref="E145:E146"/>
    <mergeCell ref="F145:F146"/>
    <mergeCell ref="G145:J145"/>
    <mergeCell ref="K145:K146"/>
    <mergeCell ref="L145:L146"/>
    <mergeCell ref="P145:P146"/>
    <mergeCell ref="Q145:Q146"/>
    <mergeCell ref="R145:R146"/>
    <mergeCell ref="A191:D191"/>
    <mergeCell ref="J191:L191"/>
    <mergeCell ref="P191:S191"/>
    <mergeCell ref="B196:D196"/>
    <mergeCell ref="J196:M196"/>
    <mergeCell ref="P196:S196"/>
    <mergeCell ref="D187:T187"/>
    <mergeCell ref="D189:F189"/>
    <mergeCell ref="P189:S189"/>
    <mergeCell ref="A190:E190"/>
    <mergeCell ref="J190:M190"/>
    <mergeCell ref="P190:S190"/>
    <mergeCell ref="A397:H397"/>
    <mergeCell ref="Q397:S397"/>
    <mergeCell ref="A398:G398"/>
    <mergeCell ref="R398:S398"/>
    <mergeCell ref="A399:G399"/>
    <mergeCell ref="A400:S400"/>
    <mergeCell ref="A401:S401"/>
    <mergeCell ref="A402:A404"/>
    <mergeCell ref="B402:B404"/>
    <mergeCell ref="C402:C404"/>
    <mergeCell ref="D402:D404"/>
    <mergeCell ref="E402:L402"/>
    <mergeCell ref="M402:M404"/>
    <mergeCell ref="N402:N404"/>
    <mergeCell ref="O402:O404"/>
    <mergeCell ref="P402:R402"/>
    <mergeCell ref="S402:S404"/>
    <mergeCell ref="T402:T404"/>
    <mergeCell ref="E403:E404"/>
    <mergeCell ref="F403:F404"/>
    <mergeCell ref="G403:J403"/>
    <mergeCell ref="K403:K404"/>
    <mergeCell ref="L403:L404"/>
    <mergeCell ref="P403:P404"/>
    <mergeCell ref="Q403:Q404"/>
    <mergeCell ref="R403:R404"/>
    <mergeCell ref="B454:D454"/>
    <mergeCell ref="J454:M454"/>
    <mergeCell ref="P454:S454"/>
    <mergeCell ref="D445:T445"/>
    <mergeCell ref="D447:F447"/>
    <mergeCell ref="P447:S447"/>
    <mergeCell ref="A448:E448"/>
    <mergeCell ref="J448:M448"/>
    <mergeCell ref="P448:S448"/>
    <mergeCell ref="A449:D449"/>
    <mergeCell ref="J449:L449"/>
    <mergeCell ref="P449:S449"/>
  </mergeCells>
  <conditionalFormatting sqref="I50:J51 I10:J48 G11:G16 I116:J117 I76:J114 G77:G82 I188:J189 I148:J186 G149:G154">
    <cfRule type="expression" dxfId="12" priority="13" stopIfTrue="1">
      <formula>#REF!=0</formula>
    </cfRule>
  </conditionalFormatting>
  <conditionalFormatting sqref="I253:J254 G214:G219 I213:J251">
    <cfRule type="expression" dxfId="11" priority="12" stopIfTrue="1">
      <formula>#REF!=0</formula>
    </cfRule>
  </conditionalFormatting>
  <conditionalFormatting sqref="G280:G285 I319:J320 I279:J317">
    <cfRule type="expression" dxfId="10" priority="11" stopIfTrue="1">
      <formula>#REF!=0</formula>
    </cfRule>
  </conditionalFormatting>
  <conditionalFormatting sqref="G280:G283 G285 I279:J315">
    <cfRule type="expression" dxfId="9" priority="10" stopIfTrue="1">
      <formula>#REF!=0</formula>
    </cfRule>
  </conditionalFormatting>
  <conditionalFormatting sqref="G347:G352 I386:J387 I346:J384">
    <cfRule type="expression" dxfId="8" priority="9" stopIfTrue="1">
      <formula>#REF!=0</formula>
    </cfRule>
  </conditionalFormatting>
  <conditionalFormatting sqref="G347:G350 G352 I346:J382">
    <cfRule type="expression" dxfId="7" priority="8" stopIfTrue="1">
      <formula>#REF!=0</formula>
    </cfRule>
  </conditionalFormatting>
  <conditionalFormatting sqref="G407:G412 I446:J447 I406:J444">
    <cfRule type="expression" dxfId="6" priority="7" stopIfTrue="1">
      <formula>#REF!=0</formula>
    </cfRule>
  </conditionalFormatting>
  <conditionalFormatting sqref="G407:G410 G412 I406:J442">
    <cfRule type="expression" dxfId="5" priority="6" stopIfTrue="1">
      <formula>#REF!=0</formula>
    </cfRule>
  </conditionalFormatting>
  <conditionalFormatting sqref="I506:J507 G467:G472 I466:J504">
    <cfRule type="expression" dxfId="4" priority="5" stopIfTrue="1">
      <formula>#REF!=0</formula>
    </cfRule>
  </conditionalFormatting>
  <conditionalFormatting sqref="G532:G537 I571:J572 I531:J569">
    <cfRule type="expression" dxfId="3" priority="4" stopIfTrue="1">
      <formula>#REF!=0</formula>
    </cfRule>
  </conditionalFormatting>
  <conditionalFormatting sqref="G532:G535 G537 I531:J567">
    <cfRule type="expression" dxfId="2" priority="3" stopIfTrue="1">
      <formula>#REF!=0</formula>
    </cfRule>
  </conditionalFormatting>
  <conditionalFormatting sqref="G596:G601 I635:J636 I595:J633">
    <cfRule type="expression" dxfId="1" priority="2" stopIfTrue="1">
      <formula>#REF!=0</formula>
    </cfRule>
  </conditionalFormatting>
  <conditionalFormatting sqref="G596:G599 G601 I595:J631">
    <cfRule type="expression" dxfId="0" priority="1" stopIfTrue="1">
      <formula>#REF!=0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M09</vt:lpstr>
      <vt:lpstr>lương nộp thuế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FPT-MinhLTH</dc:creator>
  <cp:lastModifiedBy>OS</cp:lastModifiedBy>
  <cp:lastPrinted>2022-10-27T02:48:23Z</cp:lastPrinted>
  <dcterms:created xsi:type="dcterms:W3CDTF">2017-10-05T03:23:03Z</dcterms:created>
  <dcterms:modified xsi:type="dcterms:W3CDTF">2022-11-01T03:18:44Z</dcterms:modified>
</cp:coreProperties>
</file>